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adt\Google Drive\Dự án BĐS\Golden Lake B7 Giảng Võ\4. HĐMB\"/>
    </mc:Choice>
  </mc:AlternateContent>
  <bookViews>
    <workbookView xWindow="0" yWindow="0" windowWidth="19200" windowHeight="12885"/>
  </bookViews>
  <sheets>
    <sheet name="1514" sheetId="1" r:id="rId1"/>
    <sheet name="1618" sheetId="3" r:id="rId2"/>
  </sheets>
  <calcPr calcId="152511"/>
</workbook>
</file>

<file path=xl/calcChain.xml><?xml version="1.0" encoding="utf-8"?>
<calcChain xmlns="http://schemas.openxmlformats.org/spreadsheetml/2006/main">
  <c r="F54" i="1" l="1"/>
  <c r="E54" i="1"/>
  <c r="E37" i="1"/>
  <c r="G40" i="1" l="1"/>
  <c r="G41" i="1" s="1"/>
  <c r="H41" i="1" s="1"/>
  <c r="G32" i="1"/>
  <c r="G37" i="1"/>
  <c r="D37" i="1"/>
  <c r="H37" i="1"/>
  <c r="F46" i="1"/>
  <c r="F44" i="1"/>
  <c r="G38" i="1" l="1"/>
  <c r="F37" i="1"/>
  <c r="H38" i="1" l="1"/>
  <c r="G44" i="1"/>
  <c r="B27" i="3"/>
  <c r="B29" i="3" s="1"/>
  <c r="B27" i="1"/>
  <c r="B29" i="1" s="1"/>
  <c r="H44" i="1" l="1"/>
  <c r="G46" i="1"/>
  <c r="B33" i="3"/>
  <c r="B32" i="3"/>
  <c r="B30" i="3"/>
  <c r="B31" i="3"/>
  <c r="B33" i="1"/>
  <c r="B32" i="1"/>
  <c r="B31" i="1"/>
  <c r="B30" i="1"/>
  <c r="D27" i="3"/>
  <c r="D20" i="3"/>
  <c r="D19" i="3"/>
  <c r="D18" i="3"/>
  <c r="D27" i="1"/>
  <c r="D22" i="3" l="1"/>
  <c r="D51" i="3" s="1"/>
  <c r="D23" i="3" l="1"/>
  <c r="D32" i="3" s="1"/>
  <c r="D39" i="3"/>
  <c r="D50" i="3"/>
  <c r="D42" i="3"/>
  <c r="D41" i="3"/>
  <c r="D40" i="3"/>
  <c r="D24" i="3" l="1"/>
  <c r="D29" i="3"/>
  <c r="D36" i="3" s="1"/>
  <c r="D49" i="3" s="1"/>
  <c r="D52" i="3" s="1"/>
  <c r="D31" i="3"/>
  <c r="D33" i="3"/>
  <c r="D30" i="3"/>
  <c r="D35" i="3"/>
  <c r="D34" i="3"/>
  <c r="D43" i="3"/>
  <c r="D46" i="3" s="1"/>
  <c r="D53" i="3" l="1"/>
  <c r="D54" i="3" s="1"/>
  <c r="D47" i="3"/>
  <c r="D37" i="3"/>
  <c r="D44" i="3"/>
  <c r="D20" i="1" l="1"/>
  <c r="D19" i="1"/>
  <c r="D18" i="1"/>
  <c r="D22" i="1" l="1"/>
  <c r="D39" i="1" s="1"/>
  <c r="D23" i="1" l="1"/>
  <c r="D31" i="1" s="1"/>
  <c r="D51" i="1"/>
  <c r="D50" i="1"/>
  <c r="D41" i="1"/>
  <c r="D40" i="1"/>
  <c r="D42" i="1"/>
  <c r="D34" i="1"/>
  <c r="D30" i="1"/>
  <c r="D32" i="1" l="1"/>
  <c r="D36" i="1" s="1"/>
  <c r="D49" i="1" s="1"/>
  <c r="D24" i="1"/>
  <c r="D29" i="1"/>
  <c r="D35" i="1"/>
  <c r="D33" i="1"/>
  <c r="D43" i="1"/>
  <c r="D47" i="1" l="1"/>
  <c r="D46" i="1"/>
  <c r="D52" i="1"/>
  <c r="D53" i="1"/>
  <c r="D44" i="1"/>
  <c r="D54" i="1" l="1"/>
</calcChain>
</file>

<file path=xl/comments1.xml><?xml version="1.0" encoding="utf-8"?>
<comments xmlns="http://schemas.openxmlformats.org/spreadsheetml/2006/main">
  <authors>
    <author>Duong Thi Hoa | S1C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Duong Thi Hoa | S1C:</t>
        </r>
        <r>
          <rPr>
            <sz val="9"/>
            <color indexed="81"/>
            <rFont val="Tahoma"/>
            <family val="2"/>
          </rPr>
          <t xml:space="preserve">
Tự nhập thông tin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Duong Thi Hoa | S1C:</t>
        </r>
        <r>
          <rPr>
            <sz val="9"/>
            <color indexed="81"/>
            <rFont val="Tahoma"/>
            <family val="2"/>
          </rPr>
          <t xml:space="preserve">
Tự nhập thông tin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Duong Thi Hoa | S1C:</t>
        </r>
        <r>
          <rPr>
            <sz val="9"/>
            <color indexed="81"/>
            <rFont val="Tahoma"/>
            <family val="2"/>
          </rPr>
          <t xml:space="preserve">
Tự nhập thông tin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Duong Thi Hoa | S1C:</t>
        </r>
        <r>
          <rPr>
            <sz val="9"/>
            <color indexed="81"/>
            <rFont val="Tahoma"/>
            <family val="2"/>
          </rPr>
          <t xml:space="preserve">
Nhập từ bảng giá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Duong Thi Hoa | S1C:</t>
        </r>
        <r>
          <rPr>
            <sz val="9"/>
            <color indexed="81"/>
            <rFont val="Tahoma"/>
            <family val="2"/>
          </rPr>
          <t xml:space="preserve">
Nhập từ bảng giá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Duong Thi Hoa | S1C:</t>
        </r>
        <r>
          <rPr>
            <sz val="9"/>
            <color indexed="81"/>
            <rFont val="Tahoma"/>
            <family val="2"/>
          </rPr>
          <t xml:space="preserve">
Nhập từ bảng giá
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Duong Thi Hoa | S1C:</t>
        </r>
        <r>
          <rPr>
            <sz val="9"/>
            <color indexed="81"/>
            <rFont val="Tahoma"/>
            <family val="2"/>
          </rPr>
          <t xml:space="preserve">
Tháng - Ngày - Năm
</t>
        </r>
      </text>
    </comment>
  </commentList>
</comments>
</file>

<file path=xl/comments2.xml><?xml version="1.0" encoding="utf-8"?>
<comments xmlns="http://schemas.openxmlformats.org/spreadsheetml/2006/main">
  <authors>
    <author>Duong Thi Hoa | S1C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Duong Thi Hoa | S1C:</t>
        </r>
        <r>
          <rPr>
            <sz val="9"/>
            <color indexed="81"/>
            <rFont val="Tahoma"/>
            <family val="2"/>
          </rPr>
          <t xml:space="preserve">
Tự nhập thông tin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Duong Thi Hoa | S1C:</t>
        </r>
        <r>
          <rPr>
            <sz val="9"/>
            <color indexed="81"/>
            <rFont val="Tahoma"/>
            <family val="2"/>
          </rPr>
          <t xml:space="preserve">
Tự nhập thông tin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Duong Thi Hoa | S1C:</t>
        </r>
        <r>
          <rPr>
            <sz val="9"/>
            <color indexed="81"/>
            <rFont val="Tahoma"/>
            <family val="2"/>
          </rPr>
          <t xml:space="preserve">
Tự nhập thông tin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Duong Thi Hoa | S1C:</t>
        </r>
        <r>
          <rPr>
            <sz val="9"/>
            <color indexed="81"/>
            <rFont val="Tahoma"/>
            <family val="2"/>
          </rPr>
          <t xml:space="preserve">
Nhập từ bảng giá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Duong Thi Hoa | S1C:</t>
        </r>
        <r>
          <rPr>
            <sz val="9"/>
            <color indexed="81"/>
            <rFont val="Tahoma"/>
            <family val="2"/>
          </rPr>
          <t xml:space="preserve">
Nhập từ bảng giá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Duong Thi Hoa | S1C:</t>
        </r>
        <r>
          <rPr>
            <sz val="9"/>
            <color indexed="81"/>
            <rFont val="Tahoma"/>
            <family val="2"/>
          </rPr>
          <t xml:space="preserve">
Nhập từ bảng giá
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Duong Thi Hoa | S1C:</t>
        </r>
        <r>
          <rPr>
            <sz val="9"/>
            <color indexed="81"/>
            <rFont val="Tahoma"/>
            <family val="2"/>
          </rPr>
          <t xml:space="preserve">
Nhập theo CSBH
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Duong Thi Hoa | S1C:</t>
        </r>
        <r>
          <rPr>
            <sz val="9"/>
            <color indexed="81"/>
            <rFont val="Tahoma"/>
            <family val="2"/>
          </rPr>
          <t xml:space="preserve">
Tháng - Ngày - Năm
</t>
        </r>
      </text>
    </comment>
  </commentList>
</comments>
</file>

<file path=xl/sharedStrings.xml><?xml version="1.0" encoding="utf-8"?>
<sst xmlns="http://schemas.openxmlformats.org/spreadsheetml/2006/main" count="145" uniqueCount="72">
  <si>
    <t>HANOI GOLDEN LAKE</t>
  </si>
  <si>
    <t>Ngày:</t>
  </si>
  <si>
    <t>PHIẾU TÍNH GIÁ</t>
  </si>
  <si>
    <t>Áp dụng cho</t>
  </si>
  <si>
    <t>CSBH Tháng 6</t>
  </si>
  <si>
    <t>Lựa chọn vay/Không vay</t>
  </si>
  <si>
    <t>Không vay</t>
  </si>
  <si>
    <t>Ngân hàng vay vốn</t>
  </si>
  <si>
    <t>....</t>
  </si>
  <si>
    <t>KH TTS 95% Giá bán (Bao gồm VAT) tại thời điểm ký HĐMB</t>
  </si>
  <si>
    <t>Không</t>
  </si>
  <si>
    <t>I. Thông tin khách hàng:</t>
  </si>
  <si>
    <t>Mã căn hộ</t>
  </si>
  <si>
    <t>KS-1514</t>
  </si>
  <si>
    <t>Tên khách hàng:</t>
  </si>
  <si>
    <t xml:space="preserve"> Khách hàng mua căn hộ số 1514 dự án Hanoi Golden Lake</t>
  </si>
  <si>
    <t>Tầng:</t>
  </si>
  <si>
    <t>15</t>
  </si>
  <si>
    <t>Căn:</t>
  </si>
  <si>
    <t>II. Chi tiết căn hộ (tính theo diện tích thông thủy)</t>
  </si>
  <si>
    <t>Diện tích theo thông thủy (m2)</t>
  </si>
  <si>
    <t>Giá bán gốc (chưa VAT và chưa bao gồm KPBT )</t>
  </si>
  <si>
    <t>Giá bán gốc (có VAT và chưa bao gồm KPBT)</t>
  </si>
  <si>
    <t>III. Thông tin chiết khấu khuyến mại</t>
  </si>
  <si>
    <t>%</t>
  </si>
  <si>
    <t>Chiết khấu 1% mua từ 2 căn cùng lúc</t>
  </si>
  <si>
    <t>Chiết khấu 2% mua từ 3 căn cùng lúc</t>
  </si>
  <si>
    <t>IV. Tổng giá trị căn hộ sau CKKM ( không VAT không KPBT )</t>
  </si>
  <si>
    <t>Tổng giá trị căn hộ sau CKKMS (gồm VAT và chưa có KPBT)</t>
  </si>
  <si>
    <t>Đơn giá đã bao gồm VAT và Không bao gồm KPBT /m2 sau CKKM</t>
  </si>
  <si>
    <t>V. Thanh toán (theo lịch thông thường)</t>
  </si>
  <si>
    <t>Ngày thanh toán theo tiến độ</t>
  </si>
  <si>
    <t>Số tiền</t>
  </si>
  <si>
    <t>Đợt 1 - TTĐC</t>
  </si>
  <si>
    <t>Đợt 2 - TTĐC (20 sau ĐC lần 1)</t>
  </si>
  <si>
    <t>Ký HĐMB</t>
  </si>
  <si>
    <t>Đợt 1 - trong vòng 30 ngày kế từ ngày ký TTĐC</t>
  </si>
  <si>
    <t>Đợt 2 - Trong vòng 30 ngày kể từ ngày ký HĐMB</t>
  </si>
  <si>
    <t>Đợt 3 - Trong vòng 60 ngày kể từ ngày ký HĐMB</t>
  </si>
  <si>
    <t>Đợt 4 - Trong vòng 90 ngày kể từ ngày ký HĐMB</t>
  </si>
  <si>
    <t>Đợt 5 - Trong vòng 120 ngày kể từ ngày ký HĐMB</t>
  </si>
  <si>
    <t>Đợt 6 _ Khi nhận bàn giao nhà</t>
  </si>
  <si>
    <t>Đợt 7_Khi nhận bàn giao Giấy CN quyền sử dụng đất, nhà ở - 5% giá bán không bao gồm VAT</t>
  </si>
  <si>
    <t>TỔNG CỘNG</t>
  </si>
  <si>
    <t>LỢI NHUẬN 03 NĂM ĐƯỢC HƯỞNG NGAY KHI NHẬN BÀN GIAO CĂN HỘ</t>
  </si>
  <si>
    <t>VI. Tổng lợi nhuận chương trình cam kết thuê lại / năm chưa quy đổi voucher</t>
  </si>
  <si>
    <t>VI. Tổng lợi nhuận chương trình cam kết thuê lại / năm CÓ quy đổi voucher</t>
  </si>
  <si>
    <t>Thuế VAT - 5%</t>
  </si>
  <si>
    <t>Thuế TNCN - 5%</t>
  </si>
  <si>
    <t>Thuế môn bài</t>
  </si>
  <si>
    <t>Tổng lợi thuận cho thuê KH thu về / năm</t>
  </si>
  <si>
    <t xml:space="preserve">Tỷ suất lợi nhuận đầu tư </t>
  </si>
  <si>
    <t>VII. Thanh toán lợi nhuận chương trình cam kết thuê</t>
  </si>
  <si>
    <t xml:space="preserve">Đợt 1: </t>
  </si>
  <si>
    <t>30/06 Hàng năm</t>
  </si>
  <si>
    <t xml:space="preserve">Đợt 2: </t>
  </si>
  <si>
    <t>31/12 Hàng năm</t>
  </si>
  <si>
    <t>VIII. Thanh toán lợi nhuận sau 03 / 05 năm kể từ ngày nhận BG căn hộ, KH có nhu cầu bán lại</t>
  </si>
  <si>
    <t>Số tiền đã nộp</t>
  </si>
  <si>
    <t>Lợi nhuận bán lại sau 03 năm ( 10% Tổng giá trị HĐ không VAT không PBT )</t>
  </si>
  <si>
    <t>Lợi nhuận bán lại sau 05 năm ( 15% Tổng giá trị HĐ không VAT không PBT )</t>
  </si>
  <si>
    <t>Thuế TNCN ( Tạm tính theo TH 3 năm bán lại )</t>
  </si>
  <si>
    <t>Lệ phí công chứng ( Tạm tính theo TH 3 năm bán lại )</t>
  </si>
  <si>
    <t>Số tiền thực nhận sau 03 năm khách tham gia cam kết mua lại</t>
  </si>
  <si>
    <t>KS-1618</t>
  </si>
  <si>
    <t>Quà tặng CSBH</t>
  </si>
  <si>
    <t xml:space="preserve">300k / 500k / 1tr </t>
  </si>
  <si>
    <t>181 ngày</t>
  </si>
  <si>
    <t>184 ngày</t>
  </si>
  <si>
    <t xml:space="preserve">Quà tặng CSBH </t>
  </si>
  <si>
    <t>Dự kiến Q3/2020</t>
  </si>
  <si>
    <t>Chiết khấu 3% không vay hoặc 6% thanh sớm 95%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</si>
</sst>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8"/>
      <color rgb="FF000000"/>
      <name val="Arial"/>
      <family val="2"/>
      <charset val="163"/>
    </font>
    <font>
      <b/>
      <sz val="10"/>
      <color rgb="FF000000"/>
      <name val="Arial"/>
      <family val="2"/>
      <charset val="163"/>
    </font>
    <font>
      <b/>
      <sz val="14"/>
      <color rgb="FFFFFFFF"/>
      <name val="Arial"/>
      <family val="2"/>
      <charset val="163"/>
    </font>
    <font>
      <sz val="10"/>
      <name val="Arial"/>
      <family val="2"/>
      <charset val="163"/>
    </font>
    <font>
      <b/>
      <sz val="11"/>
      <color rgb="FF000000"/>
      <name val="Arial"/>
      <family val="2"/>
      <charset val="163"/>
    </font>
    <font>
      <b/>
      <sz val="11"/>
      <color rgb="FFFF0000"/>
      <name val="Arial"/>
      <family val="2"/>
      <charset val="163"/>
    </font>
    <font>
      <sz val="10"/>
      <color rgb="FF000000"/>
      <name val="Arial"/>
      <family val="2"/>
      <charset val="163"/>
    </font>
    <font>
      <b/>
      <u/>
      <sz val="10"/>
      <color rgb="FF000000"/>
      <name val="Arial"/>
      <family val="2"/>
      <charset val="163"/>
    </font>
    <font>
      <b/>
      <sz val="12"/>
      <color rgb="FF000000"/>
      <name val="Arial"/>
      <family val="2"/>
      <charset val="163"/>
    </font>
    <font>
      <b/>
      <sz val="10"/>
      <color rgb="FFFF0000"/>
      <name val="Arial"/>
      <family val="2"/>
      <charset val="163"/>
    </font>
    <font>
      <b/>
      <sz val="10"/>
      <name val="Arial"/>
      <family val="2"/>
      <charset val="163"/>
    </font>
    <font>
      <i/>
      <sz val="10"/>
      <color rgb="FFFF0000"/>
      <name val="Arial"/>
      <family val="2"/>
      <charset val="163"/>
    </font>
    <font>
      <b/>
      <u/>
      <sz val="10"/>
      <name val="Arial"/>
      <family val="2"/>
      <charset val="163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244062"/>
        <bgColor rgb="FF244062"/>
      </patternFill>
    </fill>
    <fill>
      <patternFill patternType="solid">
        <fgColor rgb="FFFFFF00"/>
        <bgColor rgb="FFFFFF00"/>
      </patternFill>
    </fill>
    <fill>
      <patternFill patternType="solid">
        <fgColor rgb="FFB8CCE4"/>
        <bgColor rgb="FFB8CCE4"/>
      </patternFill>
    </fill>
    <fill>
      <patternFill patternType="solid">
        <fgColor rgb="FFDCE6F1"/>
        <bgColor rgb="FFDCE6F1"/>
      </patternFill>
    </fill>
    <fill>
      <patternFill patternType="solid">
        <fgColor rgb="FFE6B8B7"/>
        <bgColor rgb="FFE6B8B7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0" fontId="2" fillId="0" borderId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9" fillId="0" borderId="0"/>
    <xf numFmtId="0" fontId="2" fillId="0" borderId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1" applyFont="1" applyAlignment="1"/>
    <xf numFmtId="0" fontId="3" fillId="0" borderId="0" xfId="1" applyFont="1" applyAlignment="1"/>
    <xf numFmtId="0" fontId="4" fillId="0" borderId="0" xfId="1" applyFont="1" applyAlignment="1"/>
    <xf numFmtId="0" fontId="7" fillId="0" borderId="4" xfId="1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Alignment="1"/>
    <xf numFmtId="0" fontId="8" fillId="0" borderId="5" xfId="1" applyFont="1" applyBorder="1" applyAlignment="1"/>
    <xf numFmtId="0" fontId="7" fillId="0" borderId="0" xfId="1" applyFont="1" applyAlignment="1"/>
    <xf numFmtId="0" fontId="7" fillId="3" borderId="6" xfId="1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0" fontId="4" fillId="0" borderId="1" xfId="1" applyFont="1" applyBorder="1" applyAlignment="1">
      <alignment horizontal="right"/>
    </xf>
    <xf numFmtId="0" fontId="9" fillId="0" borderId="2" xfId="1" applyFont="1" applyBorder="1" applyAlignment="1"/>
    <xf numFmtId="0" fontId="9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10" fillId="4" borderId="1" xfId="1" applyFont="1" applyFill="1" applyBorder="1" applyAlignment="1"/>
    <xf numFmtId="0" fontId="10" fillId="4" borderId="2" xfId="1" applyFont="1" applyFill="1" applyBorder="1" applyAlignment="1"/>
    <xf numFmtId="0" fontId="9" fillId="4" borderId="2" xfId="1" applyFont="1" applyFill="1" applyBorder="1" applyAlignment="1"/>
    <xf numFmtId="0" fontId="9" fillId="4" borderId="3" xfId="1" applyFont="1" applyFill="1" applyBorder="1" applyAlignment="1"/>
    <xf numFmtId="0" fontId="4" fillId="0" borderId="1" xfId="1" applyFont="1" applyBorder="1" applyAlignment="1"/>
    <xf numFmtId="0" fontId="11" fillId="0" borderId="3" xfId="1" applyFont="1" applyBorder="1" applyAlignment="1">
      <alignment horizontal="right"/>
    </xf>
    <xf numFmtId="0" fontId="9" fillId="0" borderId="1" xfId="1" applyFont="1" applyBorder="1" applyAlignment="1"/>
    <xf numFmtId="0" fontId="4" fillId="0" borderId="3" xfId="1" applyFont="1" applyBorder="1" applyAlignment="1">
      <alignment horizontal="right"/>
    </xf>
    <xf numFmtId="0" fontId="6" fillId="0" borderId="3" xfId="1" applyFont="1" applyBorder="1" applyAlignment="1">
      <alignment horizontal="right"/>
    </xf>
    <xf numFmtId="0" fontId="6" fillId="0" borderId="2" xfId="1" applyFont="1" applyBorder="1" applyAlignment="1">
      <alignment horizontal="right"/>
    </xf>
    <xf numFmtId="0" fontId="10" fillId="4" borderId="7" xfId="1" applyFont="1" applyFill="1" applyBorder="1" applyAlignment="1"/>
    <xf numFmtId="0" fontId="10" fillId="4" borderId="8" xfId="1" applyFont="1" applyFill="1" applyBorder="1" applyAlignment="1"/>
    <xf numFmtId="0" fontId="9" fillId="4" borderId="8" xfId="1" applyFont="1" applyFill="1" applyBorder="1" applyAlignment="1"/>
    <xf numFmtId="0" fontId="9" fillId="4" borderId="9" xfId="1" applyFont="1" applyFill="1" applyBorder="1" applyAlignment="1"/>
    <xf numFmtId="0" fontId="6" fillId="0" borderId="3" xfId="1" applyFont="1" applyBorder="1" applyAlignment="1"/>
    <xf numFmtId="3" fontId="6" fillId="0" borderId="3" xfId="1" applyNumberFormat="1" applyFont="1" applyBorder="1" applyAlignment="1"/>
    <xf numFmtId="0" fontId="4" fillId="4" borderId="8" xfId="1" applyFont="1" applyFill="1" applyBorder="1" applyAlignment="1">
      <alignment horizontal="center"/>
    </xf>
    <xf numFmtId="0" fontId="14" fillId="0" borderId="1" xfId="1" applyFont="1" applyBorder="1" applyAlignment="1">
      <alignment vertical="top"/>
    </xf>
    <xf numFmtId="0" fontId="14" fillId="0" borderId="2" xfId="1" applyFont="1" applyBorder="1" applyAlignment="1">
      <alignment vertical="top"/>
    </xf>
    <xf numFmtId="3" fontId="14" fillId="0" borderId="3" xfId="1" applyNumberFormat="1" applyFont="1" applyBorder="1" applyAlignment="1">
      <alignment horizontal="right"/>
    </xf>
    <xf numFmtId="0" fontId="14" fillId="0" borderId="1" xfId="1" applyFont="1" applyBorder="1" applyAlignment="1"/>
    <xf numFmtId="0" fontId="14" fillId="0" borderId="2" xfId="1" applyFont="1" applyBorder="1" applyAlignment="1"/>
    <xf numFmtId="3" fontId="14" fillId="0" borderId="3" xfId="1" applyNumberFormat="1" applyFont="1" applyBorder="1" applyAlignment="1"/>
    <xf numFmtId="0" fontId="14" fillId="0" borderId="4" xfId="1" applyFont="1" applyBorder="1" applyAlignment="1"/>
    <xf numFmtId="0" fontId="14" fillId="0" borderId="0" xfId="1" applyFont="1" applyAlignment="1"/>
    <xf numFmtId="3" fontId="14" fillId="0" borderId="5" xfId="1" applyNumberFormat="1" applyFont="1" applyBorder="1" applyAlignment="1"/>
    <xf numFmtId="0" fontId="15" fillId="5" borderId="7" xfId="1" applyFont="1" applyFill="1" applyBorder="1" applyAlignment="1"/>
    <xf numFmtId="0" fontId="6" fillId="5" borderId="8" xfId="1" applyFont="1" applyFill="1" applyBorder="1" applyAlignment="1"/>
    <xf numFmtId="3" fontId="13" fillId="5" borderId="9" xfId="1" applyNumberFormat="1" applyFont="1" applyFill="1" applyBorder="1" applyAlignment="1">
      <alignment horizontal="right"/>
    </xf>
    <xf numFmtId="0" fontId="13" fillId="0" borderId="1" xfId="1" applyFont="1" applyBorder="1" applyAlignment="1">
      <alignment horizontal="left"/>
    </xf>
    <xf numFmtId="0" fontId="6" fillId="0" borderId="2" xfId="1" applyFont="1" applyBorder="1" applyAlignment="1"/>
    <xf numFmtId="3" fontId="13" fillId="0" borderId="3" xfId="1" applyNumberFormat="1" applyFont="1" applyBorder="1" applyAlignment="1">
      <alignment horizontal="right"/>
    </xf>
    <xf numFmtId="0" fontId="4" fillId="6" borderId="1" xfId="1" applyFont="1" applyFill="1" applyBorder="1" applyAlignment="1"/>
    <xf numFmtId="0" fontId="9" fillId="6" borderId="2" xfId="1" applyFont="1" applyFill="1" applyBorder="1" applyAlignment="1"/>
    <xf numFmtId="3" fontId="12" fillId="6" borderId="3" xfId="1" applyNumberFormat="1" applyFont="1" applyFill="1" applyBorder="1" applyAlignment="1"/>
    <xf numFmtId="0" fontId="9" fillId="0" borderId="0" xfId="1" applyFont="1" applyAlignment="1"/>
    <xf numFmtId="3" fontId="4" fillId="0" borderId="5" xfId="1" applyNumberFormat="1" applyFont="1" applyBorder="1" applyAlignment="1">
      <alignment horizontal="right"/>
    </xf>
    <xf numFmtId="0" fontId="13" fillId="5" borderId="8" xfId="1" applyFont="1" applyFill="1" applyBorder="1" applyAlignment="1">
      <alignment horizontal="center"/>
    </xf>
    <xf numFmtId="0" fontId="13" fillId="5" borderId="9" xfId="1" applyFont="1" applyFill="1" applyBorder="1" applyAlignment="1">
      <alignment horizontal="center"/>
    </xf>
    <xf numFmtId="0" fontId="9" fillId="0" borderId="7" xfId="1" applyFont="1" applyBorder="1" applyAlignment="1">
      <alignment horizontal="left"/>
    </xf>
    <xf numFmtId="0" fontId="9" fillId="0" borderId="8" xfId="1" applyFont="1" applyBorder="1" applyAlignment="1"/>
    <xf numFmtId="0" fontId="4" fillId="0" borderId="1" xfId="1" applyFont="1" applyBorder="1" applyAlignment="1">
      <alignment horizontal="left"/>
    </xf>
    <xf numFmtId="14" fontId="9" fillId="0" borderId="2" xfId="1" applyNumberFormat="1" applyFont="1" applyBorder="1" applyAlignment="1"/>
    <xf numFmtId="9" fontId="9" fillId="0" borderId="2" xfId="1" applyNumberFormat="1" applyFont="1" applyBorder="1" applyAlignment="1"/>
    <xf numFmtId="3" fontId="9" fillId="0" borderId="3" xfId="1" applyNumberFormat="1" applyFont="1" applyBorder="1" applyAlignment="1"/>
    <xf numFmtId="0" fontId="9" fillId="0" borderId="3" xfId="1" applyFont="1" applyBorder="1" applyAlignment="1"/>
    <xf numFmtId="0" fontId="9" fillId="0" borderId="1" xfId="1" applyFont="1" applyBorder="1" applyAlignment="1">
      <alignment horizontal="left"/>
    </xf>
    <xf numFmtId="14" fontId="9" fillId="0" borderId="2" xfId="1" applyNumberFormat="1" applyFont="1" applyBorder="1" applyAlignment="1">
      <alignment horizontal="right"/>
    </xf>
    <xf numFmtId="9" fontId="9" fillId="0" borderId="2" xfId="1" applyNumberFormat="1" applyFont="1" applyBorder="1" applyAlignment="1">
      <alignment horizontal="right"/>
    </xf>
    <xf numFmtId="0" fontId="9" fillId="0" borderId="2" xfId="1" applyFont="1" applyBorder="1" applyAlignment="1">
      <alignment horizontal="right"/>
    </xf>
    <xf numFmtId="0" fontId="4" fillId="0" borderId="2" xfId="1" applyFont="1" applyBorder="1" applyAlignment="1"/>
    <xf numFmtId="9" fontId="4" fillId="0" borderId="2" xfId="1" applyNumberFormat="1" applyFont="1" applyBorder="1" applyAlignment="1">
      <alignment horizontal="right"/>
    </xf>
    <xf numFmtId="10" fontId="12" fillId="6" borderId="3" xfId="1" applyNumberFormat="1" applyFont="1" applyFill="1" applyBorder="1" applyAlignment="1"/>
    <xf numFmtId="0" fontId="6" fillId="0" borderId="4" xfId="1" applyFont="1" applyBorder="1" applyAlignment="1"/>
    <xf numFmtId="0" fontId="2" fillId="0" borderId="1" xfId="1" applyFont="1" applyBorder="1" applyAlignment="1">
      <alignment horizontal="left"/>
    </xf>
    <xf numFmtId="9" fontId="14" fillId="7" borderId="2" xfId="1" applyNumberFormat="1" applyFont="1" applyFill="1" applyBorder="1" applyAlignment="1">
      <alignment horizontal="center" vertical="top"/>
    </xf>
    <xf numFmtId="0" fontId="16" fillId="5" borderId="7" xfId="1" applyFont="1" applyFill="1" applyBorder="1" applyAlignment="1"/>
    <xf numFmtId="0" fontId="6" fillId="5" borderId="2" xfId="1" applyFont="1" applyFill="1" applyBorder="1" applyAlignment="1"/>
    <xf numFmtId="0" fontId="17" fillId="0" borderId="1" xfId="1" applyFont="1" applyBorder="1" applyAlignment="1"/>
    <xf numFmtId="0" fontId="20" fillId="3" borderId="3" xfId="1" applyFont="1" applyFill="1" applyBorder="1" applyAlignment="1">
      <alignment horizontal="right"/>
    </xf>
    <xf numFmtId="9" fontId="18" fillId="0" borderId="0" xfId="1" applyNumberFormat="1" applyFont="1" applyAlignment="1"/>
    <xf numFmtId="0" fontId="19" fillId="0" borderId="0" xfId="1" applyFont="1" applyAlignment="1"/>
    <xf numFmtId="3" fontId="13" fillId="0" borderId="3" xfId="1" applyNumberFormat="1" applyFont="1" applyFill="1" applyBorder="1" applyAlignment="1"/>
    <xf numFmtId="3" fontId="21" fillId="0" borderId="3" xfId="1" applyNumberFormat="1" applyFont="1" applyFill="1" applyBorder="1" applyAlignment="1"/>
    <xf numFmtId="3" fontId="9" fillId="8" borderId="9" xfId="1" applyNumberFormat="1" applyFont="1" applyFill="1" applyBorder="1" applyAlignment="1"/>
    <xf numFmtId="9" fontId="14" fillId="3" borderId="2" xfId="1" applyNumberFormat="1" applyFont="1" applyFill="1" applyBorder="1" applyAlignment="1">
      <alignment horizontal="center"/>
    </xf>
    <xf numFmtId="9" fontId="14" fillId="3" borderId="0" xfId="1" applyNumberFormat="1" applyFont="1" applyFill="1" applyAlignment="1">
      <alignment horizontal="center"/>
    </xf>
    <xf numFmtId="165" fontId="14" fillId="3" borderId="0" xfId="2" applyNumberFormat="1" applyFont="1" applyFill="1" applyAlignment="1">
      <alignment horizontal="center"/>
    </xf>
    <xf numFmtId="14" fontId="9" fillId="3" borderId="8" xfId="1" applyNumberFormat="1" applyFont="1" applyFill="1" applyBorder="1" applyAlignment="1">
      <alignment horizontal="right"/>
    </xf>
    <xf numFmtId="0" fontId="2" fillId="0" borderId="0" xfId="1" applyFont="1" applyAlignment="1"/>
    <xf numFmtId="0" fontId="4" fillId="0" borderId="0" xfId="1" applyFont="1" applyAlignment="1"/>
    <xf numFmtId="0" fontId="7" fillId="0" borderId="4" xfId="1" applyFont="1" applyBorder="1" applyAlignment="1">
      <alignment vertical="top"/>
    </xf>
    <xf numFmtId="9" fontId="6" fillId="0" borderId="2" xfId="1" applyNumberFormat="1" applyFont="1" applyBorder="1" applyAlignment="1"/>
    <xf numFmtId="10" fontId="6" fillId="5" borderId="2" xfId="1" applyNumberFormat="1" applyFont="1" applyFill="1" applyBorder="1" applyAlignment="1"/>
    <xf numFmtId="9" fontId="6" fillId="5" borderId="8" xfId="1" applyNumberFormat="1" applyFont="1" applyFill="1" applyBorder="1" applyAlignment="1"/>
    <xf numFmtId="9" fontId="4" fillId="0" borderId="0" xfId="1" applyNumberFormat="1" applyFont="1" applyAlignment="1"/>
    <xf numFmtId="165" fontId="18" fillId="0" borderId="10" xfId="2" applyNumberFormat="1" applyFont="1" applyBorder="1" applyAlignment="1"/>
    <xf numFmtId="165" fontId="18" fillId="0" borderId="11" xfId="2" applyNumberFormat="1" applyFont="1" applyBorder="1" applyAlignment="1">
      <alignment horizontal="center"/>
    </xf>
    <xf numFmtId="166" fontId="18" fillId="0" borderId="11" xfId="2" applyNumberFormat="1" applyFont="1" applyBorder="1" applyAlignment="1">
      <alignment horizontal="center"/>
    </xf>
    <xf numFmtId="10" fontId="0" fillId="0" borderId="0" xfId="0" applyNumberFormat="1"/>
    <xf numFmtId="43" fontId="0" fillId="0" borderId="0" xfId="12" applyFont="1"/>
    <xf numFmtId="10" fontId="0" fillId="0" borderId="0" xfId="13" applyNumberFormat="1" applyFont="1"/>
    <xf numFmtId="3" fontId="0" fillId="0" borderId="0" xfId="0" applyNumberFormat="1"/>
    <xf numFmtId="0" fontId="5" fillId="2" borderId="1" xfId="1" applyFont="1" applyFill="1" applyBorder="1" applyAlignment="1">
      <alignment horizontal="center"/>
    </xf>
    <xf numFmtId="0" fontId="6" fillId="0" borderId="2" xfId="1" applyFont="1" applyBorder="1"/>
    <xf numFmtId="0" fontId="6" fillId="0" borderId="3" xfId="1" applyFont="1" applyBorder="1"/>
    <xf numFmtId="0" fontId="4" fillId="0" borderId="0" xfId="1" applyFont="1" applyAlignment="1"/>
    <xf numFmtId="0" fontId="2" fillId="0" borderId="0" xfId="1" applyFont="1" applyAlignment="1"/>
  </cellXfs>
  <cellStyles count="14">
    <cellStyle name="Comma" xfId="12" builtinId="3"/>
    <cellStyle name="Comma 2" xfId="2"/>
    <cellStyle name="Comma 2 2" xfId="3"/>
    <cellStyle name="Comma 2 3" xfId="10"/>
    <cellStyle name="Comma 3" xfId="9"/>
    <cellStyle name="Normal" xfId="0" builtinId="0"/>
    <cellStyle name="Normal 2" xfId="1"/>
    <cellStyle name="Normal 2 2" xfId="4"/>
    <cellStyle name="Normal 2 3" xfId="11"/>
    <cellStyle name="Normal 3" xfId="8"/>
    <cellStyle name="Normal 58" xfId="5"/>
    <cellStyle name="Normal 61" xfId="6"/>
    <cellStyle name="Normal 63" xfId="7"/>
    <cellStyle name="Percent" xfId="1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4"/>
  <sheetViews>
    <sheetView tabSelected="1" topLeftCell="A28" workbookViewId="0">
      <selection activeCell="F51" sqref="F51"/>
    </sheetView>
  </sheetViews>
  <sheetFormatPr defaultRowHeight="15" x14ac:dyDescent="0.25"/>
  <cols>
    <col min="1" max="1" width="43.85546875" customWidth="1"/>
    <col min="2" max="2" width="20" customWidth="1"/>
    <col min="3" max="3" width="16.5703125" customWidth="1"/>
    <col min="4" max="4" width="23.5703125" customWidth="1"/>
    <col min="5" max="5" width="12.7109375" bestFit="1" customWidth="1"/>
    <col min="7" max="7" width="15.140625" customWidth="1"/>
    <col min="8" max="8" width="12" bestFit="1" customWidth="1"/>
  </cols>
  <sheetData>
    <row r="1" spans="1:4" ht="23.25" x14ac:dyDescent="0.35">
      <c r="A1" s="2" t="s">
        <v>0</v>
      </c>
      <c r="B1" s="3"/>
      <c r="C1" s="101" t="s">
        <v>1</v>
      </c>
      <c r="D1" s="102"/>
    </row>
    <row r="2" spans="1:4" ht="18" x14ac:dyDescent="0.25">
      <c r="A2" s="98" t="s">
        <v>2</v>
      </c>
      <c r="B2" s="99"/>
      <c r="C2" s="99"/>
      <c r="D2" s="100"/>
    </row>
    <row r="3" spans="1:4" x14ac:dyDescent="0.25">
      <c r="A3" s="4" t="s">
        <v>3</v>
      </c>
      <c r="B3" s="5" t="s">
        <v>4</v>
      </c>
      <c r="C3" s="6"/>
      <c r="D3" s="7"/>
    </row>
    <row r="4" spans="1:4" x14ac:dyDescent="0.25">
      <c r="A4" s="4" t="s">
        <v>5</v>
      </c>
      <c r="B4" s="8"/>
      <c r="C4" s="8"/>
      <c r="D4" s="9" t="s">
        <v>6</v>
      </c>
    </row>
    <row r="5" spans="1:4" x14ac:dyDescent="0.25">
      <c r="A5" s="4" t="s">
        <v>7</v>
      </c>
      <c r="B5" s="10"/>
      <c r="C5" s="10"/>
      <c r="D5" s="9" t="s">
        <v>8</v>
      </c>
    </row>
    <row r="6" spans="1:4" x14ac:dyDescent="0.25">
      <c r="A6" s="86" t="s">
        <v>9</v>
      </c>
      <c r="B6" s="84"/>
      <c r="C6" s="8"/>
      <c r="D6" s="9" t="s">
        <v>10</v>
      </c>
    </row>
    <row r="7" spans="1:4" x14ac:dyDescent="0.25">
      <c r="A7" s="11"/>
      <c r="B7" s="12"/>
      <c r="C7" s="13"/>
      <c r="D7" s="14"/>
    </row>
    <row r="8" spans="1:4" x14ac:dyDescent="0.25">
      <c r="A8" s="15" t="s">
        <v>11</v>
      </c>
      <c r="B8" s="16"/>
      <c r="C8" s="17"/>
      <c r="D8" s="18"/>
    </row>
    <row r="9" spans="1:4" ht="15.75" x14ac:dyDescent="0.25">
      <c r="A9" s="19" t="s">
        <v>12</v>
      </c>
      <c r="B9" s="12"/>
      <c r="C9" s="12"/>
      <c r="D9" s="20" t="s">
        <v>13</v>
      </c>
    </row>
    <row r="10" spans="1:4" x14ac:dyDescent="0.25">
      <c r="A10" s="21" t="s">
        <v>14</v>
      </c>
      <c r="B10" s="12"/>
      <c r="C10" s="12"/>
      <c r="D10" s="22" t="s">
        <v>15</v>
      </c>
    </row>
    <row r="11" spans="1:4" x14ac:dyDescent="0.25">
      <c r="A11" s="21" t="s">
        <v>16</v>
      </c>
      <c r="B11" s="12"/>
      <c r="C11" s="12"/>
      <c r="D11" s="23" t="s">
        <v>17</v>
      </c>
    </row>
    <row r="12" spans="1:4" ht="18" x14ac:dyDescent="0.25">
      <c r="A12" s="21" t="s">
        <v>18</v>
      </c>
      <c r="B12" s="12"/>
      <c r="C12" s="24"/>
      <c r="D12" s="74">
        <v>1514</v>
      </c>
    </row>
    <row r="13" spans="1:4" x14ac:dyDescent="0.25">
      <c r="A13" s="25" t="s">
        <v>19</v>
      </c>
      <c r="B13" s="26"/>
      <c r="C13" s="27"/>
      <c r="D13" s="28"/>
    </row>
    <row r="14" spans="1:4" x14ac:dyDescent="0.25">
      <c r="A14" s="21" t="s">
        <v>20</v>
      </c>
      <c r="B14" s="12"/>
      <c r="C14" s="12"/>
      <c r="D14" s="29">
        <v>40.29</v>
      </c>
    </row>
    <row r="15" spans="1:4" x14ac:dyDescent="0.25">
      <c r="A15" s="73" t="s">
        <v>21</v>
      </c>
      <c r="B15" s="12"/>
      <c r="C15" s="12"/>
      <c r="D15" s="30">
        <v>6826403032</v>
      </c>
    </row>
    <row r="16" spans="1:4" x14ac:dyDescent="0.25">
      <c r="A16" s="19" t="s">
        <v>22</v>
      </c>
      <c r="B16" s="12"/>
      <c r="C16" s="12"/>
      <c r="D16" s="77">
        <v>7458035200</v>
      </c>
    </row>
    <row r="17" spans="1:7" x14ac:dyDescent="0.25">
      <c r="A17" s="25" t="s">
        <v>23</v>
      </c>
      <c r="B17" s="26"/>
      <c r="C17" s="31" t="s">
        <v>24</v>
      </c>
      <c r="D17" s="28"/>
    </row>
    <row r="18" spans="1:7" x14ac:dyDescent="0.25">
      <c r="A18" s="32" t="s">
        <v>71</v>
      </c>
      <c r="B18" s="33"/>
      <c r="C18" s="80">
        <v>0.03</v>
      </c>
      <c r="D18" s="34">
        <f>D15*C18</f>
        <v>204792090.95999998</v>
      </c>
    </row>
    <row r="19" spans="1:7" x14ac:dyDescent="0.25">
      <c r="A19" s="35" t="s">
        <v>25</v>
      </c>
      <c r="B19" s="36"/>
      <c r="C19" s="80">
        <v>0.01</v>
      </c>
      <c r="D19" s="37">
        <f>C19*D15</f>
        <v>68264030.320000008</v>
      </c>
    </row>
    <row r="20" spans="1:7" x14ac:dyDescent="0.25">
      <c r="A20" s="38" t="s">
        <v>26</v>
      </c>
      <c r="B20" s="39"/>
      <c r="C20" s="81">
        <v>0</v>
      </c>
      <c r="D20" s="40">
        <f>C20*D15</f>
        <v>0</v>
      </c>
    </row>
    <row r="21" spans="1:7" x14ac:dyDescent="0.25">
      <c r="A21" s="38" t="s">
        <v>65</v>
      </c>
      <c r="B21" s="39"/>
      <c r="C21" s="82">
        <v>50000000</v>
      </c>
      <c r="D21" s="40">
        <v>50000000</v>
      </c>
    </row>
    <row r="22" spans="1:7" x14ac:dyDescent="0.25">
      <c r="A22" s="71" t="s">
        <v>27</v>
      </c>
      <c r="B22" s="42"/>
      <c r="C22" s="42"/>
      <c r="D22" s="43">
        <f>D15-D18/1.1-D19/1.1-D20/1.1-D21/1.1</f>
        <v>6532715649.0181828</v>
      </c>
    </row>
    <row r="23" spans="1:7" x14ac:dyDescent="0.25">
      <c r="A23" s="47" t="s">
        <v>28</v>
      </c>
      <c r="B23" s="48"/>
      <c r="C23" s="48"/>
      <c r="D23" s="49">
        <f>D22+(D22-D14*12660247)*10%</f>
        <v>7134979078.7570009</v>
      </c>
    </row>
    <row r="24" spans="1:7" x14ac:dyDescent="0.25">
      <c r="A24" s="68" t="s">
        <v>29</v>
      </c>
      <c r="B24" s="50"/>
      <c r="C24" s="50"/>
      <c r="D24" s="51">
        <f>D23/D14</f>
        <v>177090570.33400351</v>
      </c>
    </row>
    <row r="25" spans="1:7" x14ac:dyDescent="0.25">
      <c r="A25" s="41" t="s">
        <v>30</v>
      </c>
      <c r="B25" s="52" t="s">
        <v>31</v>
      </c>
      <c r="C25" s="42"/>
      <c r="D25" s="53" t="s">
        <v>32</v>
      </c>
    </row>
    <row r="26" spans="1:7" x14ac:dyDescent="0.25">
      <c r="A26" s="54" t="s">
        <v>33</v>
      </c>
      <c r="B26" s="83">
        <v>43698</v>
      </c>
      <c r="C26" s="55"/>
      <c r="D26" s="79">
        <v>300000000</v>
      </c>
    </row>
    <row r="27" spans="1:7" x14ac:dyDescent="0.25">
      <c r="A27" s="56" t="s">
        <v>34</v>
      </c>
      <c r="B27" s="57">
        <f>B26+20</f>
        <v>43718</v>
      </c>
      <c r="C27" s="58">
        <v>0.1</v>
      </c>
      <c r="D27" s="59">
        <f>D16*C27-D26</f>
        <v>445803520</v>
      </c>
    </row>
    <row r="28" spans="1:7" x14ac:dyDescent="0.25">
      <c r="A28" s="56" t="s">
        <v>35</v>
      </c>
      <c r="B28" s="12"/>
      <c r="C28" s="12"/>
      <c r="D28" s="60"/>
    </row>
    <row r="29" spans="1:7" x14ac:dyDescent="0.25">
      <c r="A29" s="61" t="s">
        <v>36</v>
      </c>
      <c r="B29" s="62">
        <f>B27+30</f>
        <v>43748</v>
      </c>
      <c r="C29" s="63">
        <v>0.2</v>
      </c>
      <c r="D29" s="59">
        <f>D23*30%-D27-D26</f>
        <v>1394690203.6271002</v>
      </c>
    </row>
    <row r="30" spans="1:7" x14ac:dyDescent="0.25">
      <c r="A30" s="61" t="s">
        <v>37</v>
      </c>
      <c r="B30" s="62">
        <f>B29+30</f>
        <v>43778</v>
      </c>
      <c r="C30" s="63">
        <v>0.1</v>
      </c>
      <c r="D30" s="59">
        <f>D23*C30</f>
        <v>713497907.87570012</v>
      </c>
    </row>
    <row r="31" spans="1:7" x14ac:dyDescent="0.25">
      <c r="A31" s="61" t="s">
        <v>38</v>
      </c>
      <c r="B31" s="62">
        <f>B29+60</f>
        <v>43808</v>
      </c>
      <c r="C31" s="63">
        <v>0.1</v>
      </c>
      <c r="D31" s="59">
        <f>D23*C31</f>
        <v>713497907.87570012</v>
      </c>
    </row>
    <row r="32" spans="1:7" x14ac:dyDescent="0.25">
      <c r="A32" s="61" t="s">
        <v>39</v>
      </c>
      <c r="B32" s="62">
        <f>B29+90</f>
        <v>43838</v>
      </c>
      <c r="C32" s="63">
        <v>0.1</v>
      </c>
      <c r="D32" s="59">
        <f>D23*C32</f>
        <v>713497907.87570012</v>
      </c>
      <c r="G32">
        <f>365-92</f>
        <v>273</v>
      </c>
    </row>
    <row r="33" spans="1:8" x14ac:dyDescent="0.25">
      <c r="A33" s="61" t="s">
        <v>40</v>
      </c>
      <c r="B33" s="62">
        <f>B29+120</f>
        <v>43868</v>
      </c>
      <c r="C33" s="63">
        <v>0.1</v>
      </c>
      <c r="D33" s="59">
        <f>D23*C33</f>
        <v>713497907.87570012</v>
      </c>
    </row>
    <row r="34" spans="1:8" x14ac:dyDescent="0.25">
      <c r="A34" s="69" t="s">
        <v>41</v>
      </c>
      <c r="B34" s="64" t="s">
        <v>70</v>
      </c>
      <c r="C34" s="63">
        <v>0.25</v>
      </c>
      <c r="D34" s="59">
        <f>D23*C34</f>
        <v>1783744769.6892502</v>
      </c>
    </row>
    <row r="35" spans="1:8" x14ac:dyDescent="0.25">
      <c r="A35" s="69" t="s">
        <v>42</v>
      </c>
      <c r="B35" s="62"/>
      <c r="C35" s="63">
        <v>0.05</v>
      </c>
      <c r="D35" s="59">
        <f>D23*C35</f>
        <v>356748953.93785006</v>
      </c>
    </row>
    <row r="36" spans="1:8" x14ac:dyDescent="0.25">
      <c r="A36" s="19" t="s">
        <v>43</v>
      </c>
      <c r="B36" s="65"/>
      <c r="C36" s="66">
        <v>1</v>
      </c>
      <c r="D36" s="78">
        <f>SUM(D26:D35)</f>
        <v>7134979078.7570009</v>
      </c>
    </row>
    <row r="37" spans="1:8" x14ac:dyDescent="0.25">
      <c r="A37" s="50" t="s">
        <v>44</v>
      </c>
      <c r="B37" s="50"/>
      <c r="C37" s="50"/>
      <c r="D37" s="78">
        <f>D22*C39/365*92*0.9-300000+D43*2</f>
        <v>1434330080.9043458</v>
      </c>
      <c r="E37" s="97">
        <f>D36-D37</f>
        <v>5700648997.8526554</v>
      </c>
      <c r="F37">
        <f>D37/D22</f>
        <v>0.21956107658228086</v>
      </c>
      <c r="G37">
        <f>D22*C39/365*92*0.9-300000+D43*3</f>
        <v>2071249764.0309713</v>
      </c>
      <c r="H37">
        <f>D22*C39*0.9*(365-92)/D22</f>
        <v>26.658450000000002</v>
      </c>
    </row>
    <row r="38" spans="1:8" x14ac:dyDescent="0.25">
      <c r="A38" s="71" t="s">
        <v>45</v>
      </c>
      <c r="B38" s="42"/>
      <c r="C38" s="89">
        <v>0.1</v>
      </c>
      <c r="D38" s="43"/>
      <c r="G38">
        <f>G37/D22</f>
        <v>0.3170580008854762</v>
      </c>
      <c r="H38">
        <f>G38-F37</f>
        <v>9.7496924303195343E-2</v>
      </c>
    </row>
    <row r="39" spans="1:8" x14ac:dyDescent="0.25">
      <c r="A39" s="71" t="s">
        <v>46</v>
      </c>
      <c r="B39" s="72"/>
      <c r="C39" s="88">
        <v>0.1085</v>
      </c>
      <c r="D39" s="43">
        <f>D22*C39</f>
        <v>708799647.91847277</v>
      </c>
      <c r="F39" s="94"/>
    </row>
    <row r="40" spans="1:8" x14ac:dyDescent="0.25">
      <c r="A40" s="44" t="s">
        <v>47</v>
      </c>
      <c r="B40" s="45"/>
      <c r="C40" s="87">
        <v>0.05</v>
      </c>
      <c r="D40" s="46">
        <f>C40*D39</f>
        <v>35439982.395923637</v>
      </c>
      <c r="G40" s="95">
        <f>D22*C39/365*273*0.9-1000000</f>
        <v>476128968.47553086</v>
      </c>
      <c r="H40" s="95"/>
    </row>
    <row r="41" spans="1:8" x14ac:dyDescent="0.25">
      <c r="A41" s="44" t="s">
        <v>48</v>
      </c>
      <c r="B41" s="45"/>
      <c r="C41" s="87">
        <v>0.05</v>
      </c>
      <c r="D41" s="46">
        <f>C41*D39</f>
        <v>35439982.395923637</v>
      </c>
      <c r="G41" s="96">
        <f>G40/D22</f>
        <v>7.2883773618263856E-2</v>
      </c>
      <c r="H41" s="94">
        <f>D44-G41</f>
        <v>1.6383437412939975E-2</v>
      </c>
    </row>
    <row r="42" spans="1:8" x14ac:dyDescent="0.25">
      <c r="A42" s="44" t="s">
        <v>49</v>
      </c>
      <c r="B42" s="45"/>
      <c r="C42" s="45" t="s">
        <v>66</v>
      </c>
      <c r="D42" s="46">
        <f>+IF(D39&lt;=300000000, 300000,IF(300000000&lt;D39&lt;=500000000,500000, IF(D39&gt;500000000, 1000000)))</f>
        <v>1000000</v>
      </c>
    </row>
    <row r="43" spans="1:8" x14ac:dyDescent="0.25">
      <c r="A43" s="47" t="s">
        <v>50</v>
      </c>
      <c r="B43" s="48"/>
      <c r="C43" s="48"/>
      <c r="D43" s="49">
        <f>D39-D40-D41-D42</f>
        <v>636919683.12662554</v>
      </c>
    </row>
    <row r="44" spans="1:8" x14ac:dyDescent="0.25">
      <c r="A44" s="47" t="s">
        <v>51</v>
      </c>
      <c r="B44" s="48"/>
      <c r="C44" s="48"/>
      <c r="D44" s="67">
        <f>D43/D36</f>
        <v>8.926721103120383E-2</v>
      </c>
      <c r="F44" s="94">
        <f>D44*2</f>
        <v>0.17853442206240766</v>
      </c>
      <c r="G44" s="94">
        <f>F37-F44</f>
        <v>4.1026654519873196E-2</v>
      </c>
      <c r="H44" s="94">
        <f>D44-G44</f>
        <v>4.8240556511330634E-2</v>
      </c>
    </row>
    <row r="45" spans="1:8" x14ac:dyDescent="0.25">
      <c r="A45" s="41" t="s">
        <v>52</v>
      </c>
      <c r="B45" s="52" t="s">
        <v>31</v>
      </c>
      <c r="C45" s="42"/>
      <c r="D45" s="53" t="s">
        <v>32</v>
      </c>
    </row>
    <row r="46" spans="1:8" x14ac:dyDescent="0.25">
      <c r="A46" s="56" t="s">
        <v>53</v>
      </c>
      <c r="B46" s="64" t="s">
        <v>54</v>
      </c>
      <c r="C46" s="63" t="s">
        <v>67</v>
      </c>
      <c r="D46" s="59">
        <f>D43/365*181</f>
        <v>315842363.41347736</v>
      </c>
      <c r="F46">
        <f>D44*3</f>
        <v>0.26780163309361149</v>
      </c>
      <c r="G46" s="94">
        <f>F46+G44</f>
        <v>0.30882828761348469</v>
      </c>
    </row>
    <row r="47" spans="1:8" x14ac:dyDescent="0.25">
      <c r="A47" s="56" t="s">
        <v>55</v>
      </c>
      <c r="B47" s="64" t="s">
        <v>56</v>
      </c>
      <c r="C47" s="63" t="s">
        <v>68</v>
      </c>
      <c r="D47" s="59">
        <f>D43/365*184</f>
        <v>321077319.71314824</v>
      </c>
    </row>
    <row r="48" spans="1:8" x14ac:dyDescent="0.25">
      <c r="A48" s="41" t="s">
        <v>57</v>
      </c>
      <c r="B48" s="52"/>
      <c r="C48" s="42"/>
      <c r="D48" s="53" t="s">
        <v>32</v>
      </c>
    </row>
    <row r="49" spans="1:6" x14ac:dyDescent="0.25">
      <c r="A49" s="76" t="s">
        <v>58</v>
      </c>
      <c r="B49" s="1"/>
      <c r="C49" s="75">
        <v>0.95</v>
      </c>
      <c r="D49" s="91">
        <f>D36*C49</f>
        <v>6778230124.8191509</v>
      </c>
    </row>
    <row r="50" spans="1:6" x14ac:dyDescent="0.25">
      <c r="A50" s="76" t="s">
        <v>59</v>
      </c>
      <c r="B50" s="3"/>
      <c r="C50" s="75">
        <v>0.1</v>
      </c>
      <c r="D50" s="92">
        <f>C50*D22</f>
        <v>653271564.90181828</v>
      </c>
    </row>
    <row r="51" spans="1:6" x14ac:dyDescent="0.25">
      <c r="A51" s="76" t="s">
        <v>60</v>
      </c>
      <c r="B51" s="3"/>
      <c r="C51" s="75">
        <v>0.15</v>
      </c>
      <c r="D51" s="92">
        <f>C51*D22</f>
        <v>979907347.35272741</v>
      </c>
    </row>
    <row r="52" spans="1:6" x14ac:dyDescent="0.25">
      <c r="A52" s="76" t="s">
        <v>61</v>
      </c>
      <c r="B52" s="3"/>
      <c r="C52" s="90">
        <v>0.02</v>
      </c>
      <c r="D52" s="93">
        <f>C52*(D49+D50)</f>
        <v>148630033.79441938</v>
      </c>
    </row>
    <row r="53" spans="1:6" x14ac:dyDescent="0.25">
      <c r="A53" s="76" t="s">
        <v>62</v>
      </c>
      <c r="B53" s="3"/>
      <c r="C53" s="3"/>
      <c r="D53" s="92">
        <f>3200000+0.04%*(D49+D50-5000000000)</f>
        <v>4172600.6758883875</v>
      </c>
    </row>
    <row r="54" spans="1:6" x14ac:dyDescent="0.25">
      <c r="A54" s="47" t="s">
        <v>63</v>
      </c>
      <c r="B54" s="48"/>
      <c r="C54" s="48"/>
      <c r="D54" s="49">
        <f>SUM(D49+D50-D52-D53)</f>
        <v>7278699055.2506618</v>
      </c>
      <c r="E54" s="97">
        <f>D54-E37</f>
        <v>1578050057.3980064</v>
      </c>
      <c r="F54">
        <f>E54/E37</f>
        <v>0.27681936881089031</v>
      </c>
    </row>
  </sheetData>
  <mergeCells count="2">
    <mergeCell ref="A2:D2"/>
    <mergeCell ref="C1:D1"/>
  </mergeCells>
  <pageMargins left="0.7" right="0.7" top="0.75" bottom="0.75" header="0.3" footer="0.3"/>
  <pageSetup paperSize="9" scale="8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4"/>
  <sheetViews>
    <sheetView workbookViewId="0">
      <selection activeCell="F20" sqref="F20"/>
    </sheetView>
  </sheetViews>
  <sheetFormatPr defaultRowHeight="15" x14ac:dyDescent="0.25"/>
  <cols>
    <col min="1" max="1" width="45.85546875" customWidth="1"/>
    <col min="2" max="2" width="17.85546875" customWidth="1"/>
    <col min="3" max="4" width="23.5703125" customWidth="1"/>
  </cols>
  <sheetData>
    <row r="1" spans="1:4" ht="23.25" x14ac:dyDescent="0.35">
      <c r="A1" s="2" t="s">
        <v>0</v>
      </c>
      <c r="B1" s="85"/>
      <c r="C1" s="101" t="s">
        <v>1</v>
      </c>
      <c r="D1" s="102"/>
    </row>
    <row r="2" spans="1:4" ht="18" x14ac:dyDescent="0.25">
      <c r="A2" s="98" t="s">
        <v>2</v>
      </c>
      <c r="B2" s="99"/>
      <c r="C2" s="99"/>
      <c r="D2" s="100"/>
    </row>
    <row r="3" spans="1:4" x14ac:dyDescent="0.25">
      <c r="A3" s="4" t="s">
        <v>3</v>
      </c>
      <c r="B3" s="5" t="s">
        <v>4</v>
      </c>
      <c r="C3" s="6"/>
      <c r="D3" s="7"/>
    </row>
    <row r="4" spans="1:4" x14ac:dyDescent="0.25">
      <c r="A4" s="4" t="s">
        <v>5</v>
      </c>
      <c r="B4" s="8"/>
      <c r="C4" s="8"/>
      <c r="D4" s="9" t="s">
        <v>6</v>
      </c>
    </row>
    <row r="5" spans="1:4" x14ac:dyDescent="0.25">
      <c r="A5" s="4" t="s">
        <v>7</v>
      </c>
      <c r="B5" s="10"/>
      <c r="C5" s="10"/>
      <c r="D5" s="9" t="s">
        <v>8</v>
      </c>
    </row>
    <row r="6" spans="1:4" x14ac:dyDescent="0.25">
      <c r="A6" s="86" t="s">
        <v>9</v>
      </c>
      <c r="B6" s="84"/>
      <c r="C6" s="8"/>
      <c r="D6" s="9" t="s">
        <v>10</v>
      </c>
    </row>
    <row r="7" spans="1:4" x14ac:dyDescent="0.25">
      <c r="A7" s="11"/>
      <c r="B7" s="12"/>
      <c r="C7" s="13"/>
      <c r="D7" s="14"/>
    </row>
    <row r="8" spans="1:4" x14ac:dyDescent="0.25">
      <c r="A8" s="15" t="s">
        <v>11</v>
      </c>
      <c r="B8" s="16"/>
      <c r="C8" s="17"/>
      <c r="D8" s="18"/>
    </row>
    <row r="9" spans="1:4" ht="15.75" x14ac:dyDescent="0.25">
      <c r="A9" s="19" t="s">
        <v>12</v>
      </c>
      <c r="B9" s="12"/>
      <c r="C9" s="12"/>
      <c r="D9" s="20" t="s">
        <v>64</v>
      </c>
    </row>
    <row r="10" spans="1:4" x14ac:dyDescent="0.25">
      <c r="A10" s="21" t="s">
        <v>14</v>
      </c>
      <c r="B10" s="12"/>
      <c r="C10" s="12"/>
      <c r="D10" s="22" t="s">
        <v>15</v>
      </c>
    </row>
    <row r="11" spans="1:4" x14ac:dyDescent="0.25">
      <c r="A11" s="21" t="s">
        <v>16</v>
      </c>
      <c r="B11" s="12"/>
      <c r="C11" s="12"/>
      <c r="D11" s="23">
        <v>16</v>
      </c>
    </row>
    <row r="12" spans="1:4" ht="18" x14ac:dyDescent="0.25">
      <c r="A12" s="21" t="s">
        <v>18</v>
      </c>
      <c r="B12" s="12"/>
      <c r="C12" s="24"/>
      <c r="D12" s="74">
        <v>1618</v>
      </c>
    </row>
    <row r="13" spans="1:4" x14ac:dyDescent="0.25">
      <c r="A13" s="25" t="s">
        <v>19</v>
      </c>
      <c r="B13" s="26"/>
      <c r="C13" s="27"/>
      <c r="D13" s="28"/>
    </row>
    <row r="14" spans="1:4" x14ac:dyDescent="0.25">
      <c r="A14" s="21" t="s">
        <v>20</v>
      </c>
      <c r="B14" s="12"/>
      <c r="C14" s="12"/>
      <c r="D14" s="29">
        <v>79.180000000000007</v>
      </c>
    </row>
    <row r="15" spans="1:4" x14ac:dyDescent="0.25">
      <c r="A15" s="73" t="s">
        <v>21</v>
      </c>
      <c r="B15" s="12"/>
      <c r="C15" s="12"/>
      <c r="D15" s="30">
        <v>13408742760</v>
      </c>
    </row>
    <row r="16" spans="1:4" x14ac:dyDescent="0.25">
      <c r="A16" s="19" t="s">
        <v>22</v>
      </c>
      <c r="B16" s="12"/>
      <c r="C16" s="12"/>
      <c r="D16" s="77">
        <v>14649373200</v>
      </c>
    </row>
    <row r="17" spans="1:4" x14ac:dyDescent="0.25">
      <c r="A17" s="25" t="s">
        <v>23</v>
      </c>
      <c r="B17" s="26"/>
      <c r="C17" s="31" t="s">
        <v>24</v>
      </c>
      <c r="D17" s="28"/>
    </row>
    <row r="18" spans="1:4" x14ac:dyDescent="0.25">
      <c r="A18" s="32" t="s">
        <v>71</v>
      </c>
      <c r="B18" s="33"/>
      <c r="C18" s="70">
        <v>0.03</v>
      </c>
      <c r="D18" s="34">
        <f>D15*C18</f>
        <v>402262282.80000001</v>
      </c>
    </row>
    <row r="19" spans="1:4" x14ac:dyDescent="0.25">
      <c r="A19" s="35" t="s">
        <v>25</v>
      </c>
      <c r="B19" s="36"/>
      <c r="C19" s="80">
        <v>0.01</v>
      </c>
      <c r="D19" s="37">
        <f>C19*D15</f>
        <v>134087427.60000001</v>
      </c>
    </row>
    <row r="20" spans="1:4" x14ac:dyDescent="0.25">
      <c r="A20" s="38" t="s">
        <v>26</v>
      </c>
      <c r="B20" s="39"/>
      <c r="C20" s="81">
        <v>0</v>
      </c>
      <c r="D20" s="40">
        <f>C20*D15</f>
        <v>0</v>
      </c>
    </row>
    <row r="21" spans="1:4" x14ac:dyDescent="0.25">
      <c r="A21" s="38" t="s">
        <v>69</v>
      </c>
      <c r="B21" s="39"/>
      <c r="C21" s="82">
        <v>50000000</v>
      </c>
      <c r="D21" s="40">
        <v>50000000</v>
      </c>
    </row>
    <row r="22" spans="1:4" x14ac:dyDescent="0.25">
      <c r="A22" s="71" t="s">
        <v>27</v>
      </c>
      <c r="B22" s="42"/>
      <c r="C22" s="42"/>
      <c r="D22" s="43">
        <f>D15-D18/1.1-D19/1.1-D20/1.1-D21/1.1</f>
        <v>12875697568.727272</v>
      </c>
    </row>
    <row r="23" spans="1:4" x14ac:dyDescent="0.25">
      <c r="A23" s="47" t="s">
        <v>28</v>
      </c>
      <c r="B23" s="48"/>
      <c r="C23" s="48"/>
      <c r="D23" s="49">
        <f>D22+(D22-D14*12660247)*10%</f>
        <v>14063023489.854</v>
      </c>
    </row>
    <row r="24" spans="1:4" x14ac:dyDescent="0.25">
      <c r="A24" s="68" t="s">
        <v>29</v>
      </c>
      <c r="B24" s="50"/>
      <c r="C24" s="50"/>
      <c r="D24" s="51">
        <f>D23/D14</f>
        <v>177608278.47757009</v>
      </c>
    </row>
    <row r="25" spans="1:4" x14ac:dyDescent="0.25">
      <c r="A25" s="41" t="s">
        <v>30</v>
      </c>
      <c r="B25" s="52" t="s">
        <v>31</v>
      </c>
      <c r="C25" s="42"/>
      <c r="D25" s="53" t="s">
        <v>32</v>
      </c>
    </row>
    <row r="26" spans="1:4" x14ac:dyDescent="0.25">
      <c r="A26" s="54" t="s">
        <v>33</v>
      </c>
      <c r="B26" s="83">
        <v>43698</v>
      </c>
      <c r="C26" s="55"/>
      <c r="D26" s="79">
        <v>300000000</v>
      </c>
    </row>
    <row r="27" spans="1:4" x14ac:dyDescent="0.25">
      <c r="A27" s="56" t="s">
        <v>34</v>
      </c>
      <c r="B27" s="57">
        <f>B26+20</f>
        <v>43718</v>
      </c>
      <c r="C27" s="58">
        <v>0.1</v>
      </c>
      <c r="D27" s="59">
        <f>D16*C27-D26</f>
        <v>1164937320</v>
      </c>
    </row>
    <row r="28" spans="1:4" x14ac:dyDescent="0.25">
      <c r="A28" s="56" t="s">
        <v>35</v>
      </c>
      <c r="B28" s="12"/>
      <c r="C28" s="12"/>
      <c r="D28" s="60"/>
    </row>
    <row r="29" spans="1:4" x14ac:dyDescent="0.25">
      <c r="A29" s="61" t="s">
        <v>36</v>
      </c>
      <c r="B29" s="62">
        <f>B27+30</f>
        <v>43748</v>
      </c>
      <c r="C29" s="63">
        <v>0.2</v>
      </c>
      <c r="D29" s="59">
        <f>D23*30%-D27-D26</f>
        <v>2753969726.9561996</v>
      </c>
    </row>
    <row r="30" spans="1:4" x14ac:dyDescent="0.25">
      <c r="A30" s="61" t="s">
        <v>37</v>
      </c>
      <c r="B30" s="62">
        <f>B29+30</f>
        <v>43778</v>
      </c>
      <c r="C30" s="63">
        <v>0.1</v>
      </c>
      <c r="D30" s="59">
        <f>D23*C30</f>
        <v>1406302348.9854002</v>
      </c>
    </row>
    <row r="31" spans="1:4" x14ac:dyDescent="0.25">
      <c r="A31" s="61" t="s">
        <v>38</v>
      </c>
      <c r="B31" s="62">
        <f>B29+60</f>
        <v>43808</v>
      </c>
      <c r="C31" s="63">
        <v>0.1</v>
      </c>
      <c r="D31" s="59">
        <f>D23*C31</f>
        <v>1406302348.9854002</v>
      </c>
    </row>
    <row r="32" spans="1:4" x14ac:dyDescent="0.25">
      <c r="A32" s="61" t="s">
        <v>39</v>
      </c>
      <c r="B32" s="62">
        <f>B29+90</f>
        <v>43838</v>
      </c>
      <c r="C32" s="63">
        <v>0.1</v>
      </c>
      <c r="D32" s="59">
        <f>D23*C32</f>
        <v>1406302348.9854002</v>
      </c>
    </row>
    <row r="33" spans="1:4" x14ac:dyDescent="0.25">
      <c r="A33" s="61" t="s">
        <v>40</v>
      </c>
      <c r="B33" s="62">
        <f>B29+120</f>
        <v>43868</v>
      </c>
      <c r="C33" s="63">
        <v>0.1</v>
      </c>
      <c r="D33" s="59">
        <f>D23*C33</f>
        <v>1406302348.9854002</v>
      </c>
    </row>
    <row r="34" spans="1:4" x14ac:dyDescent="0.25">
      <c r="A34" s="69" t="s">
        <v>41</v>
      </c>
      <c r="B34" s="64" t="s">
        <v>70</v>
      </c>
      <c r="C34" s="63">
        <v>0.25</v>
      </c>
      <c r="D34" s="59">
        <f>D23*C34</f>
        <v>3515755872.4635</v>
      </c>
    </row>
    <row r="35" spans="1:4" x14ac:dyDescent="0.25">
      <c r="A35" s="69" t="s">
        <v>42</v>
      </c>
      <c r="B35" s="62"/>
      <c r="C35" s="63">
        <v>0.05</v>
      </c>
      <c r="D35" s="59">
        <f>D23*C35</f>
        <v>703151174.4927001</v>
      </c>
    </row>
    <row r="36" spans="1:4" x14ac:dyDescent="0.25">
      <c r="A36" s="19" t="s">
        <v>43</v>
      </c>
      <c r="B36" s="65"/>
      <c r="C36" s="66">
        <v>1</v>
      </c>
      <c r="D36" s="78">
        <f>SUM(D26:D35)</f>
        <v>14063023489.854002</v>
      </c>
    </row>
    <row r="37" spans="1:4" x14ac:dyDescent="0.25">
      <c r="A37" s="50" t="s">
        <v>44</v>
      </c>
      <c r="B37" s="50"/>
      <c r="C37" s="50"/>
      <c r="D37" s="78">
        <f>D22*C39/365*92*0.9-300000+D43*2</f>
        <v>2829235219.6051269</v>
      </c>
    </row>
    <row r="38" spans="1:4" x14ac:dyDescent="0.25">
      <c r="A38" s="71" t="s">
        <v>45</v>
      </c>
      <c r="B38" s="42"/>
      <c r="C38" s="89">
        <v>0.1</v>
      </c>
      <c r="D38" s="43"/>
    </row>
    <row r="39" spans="1:4" x14ac:dyDescent="0.25">
      <c r="A39" s="71" t="s">
        <v>46</v>
      </c>
      <c r="B39" s="72"/>
      <c r="C39" s="88">
        <v>0.1085</v>
      </c>
      <c r="D39" s="43">
        <f>D22*C39</f>
        <v>1397013186.2069089</v>
      </c>
    </row>
    <row r="40" spans="1:4" x14ac:dyDescent="0.25">
      <c r="A40" s="44" t="s">
        <v>47</v>
      </c>
      <c r="B40" s="45"/>
      <c r="C40" s="87">
        <v>0.05</v>
      </c>
      <c r="D40" s="46">
        <f>C40*D39</f>
        <v>69850659.310345456</v>
      </c>
    </row>
    <row r="41" spans="1:4" x14ac:dyDescent="0.25">
      <c r="A41" s="44" t="s">
        <v>48</v>
      </c>
      <c r="B41" s="45"/>
      <c r="C41" s="87">
        <v>0.05</v>
      </c>
      <c r="D41" s="46">
        <f>C41*D39</f>
        <v>69850659.310345456</v>
      </c>
    </row>
    <row r="42" spans="1:4" x14ac:dyDescent="0.25">
      <c r="A42" s="44" t="s">
        <v>49</v>
      </c>
      <c r="B42" s="45"/>
      <c r="C42" s="45" t="s">
        <v>66</v>
      </c>
      <c r="D42" s="46">
        <f>+IF(D39&lt;=300000000, 300000,IF(300000000&lt;D39&lt;=500000000,500000, IF(D39&gt;500000000, 1000000)))</f>
        <v>1000000</v>
      </c>
    </row>
    <row r="43" spans="1:4" x14ac:dyDescent="0.25">
      <c r="A43" s="47" t="s">
        <v>50</v>
      </c>
      <c r="B43" s="48"/>
      <c r="C43" s="48"/>
      <c r="D43" s="49">
        <f>D39-D40-D41-D42</f>
        <v>1256311867.5862181</v>
      </c>
    </row>
    <row r="44" spans="1:4" x14ac:dyDescent="0.25">
      <c r="A44" s="47" t="s">
        <v>51</v>
      </c>
      <c r="B44" s="48"/>
      <c r="C44" s="48"/>
      <c r="D44" s="67">
        <f>D43/D36</f>
        <v>8.9334407248384734E-2</v>
      </c>
    </row>
    <row r="45" spans="1:4" x14ac:dyDescent="0.25">
      <c r="A45" s="41" t="s">
        <v>52</v>
      </c>
      <c r="B45" s="52" t="s">
        <v>31</v>
      </c>
      <c r="C45" s="42"/>
      <c r="D45" s="53" t="s">
        <v>32</v>
      </c>
    </row>
    <row r="46" spans="1:4" x14ac:dyDescent="0.25">
      <c r="A46" s="56" t="s">
        <v>53</v>
      </c>
      <c r="B46" s="64" t="s">
        <v>54</v>
      </c>
      <c r="C46" s="63" t="s">
        <v>67</v>
      </c>
      <c r="D46" s="59">
        <f>D43/365*181</f>
        <v>622993008.30987799</v>
      </c>
    </row>
    <row r="47" spans="1:4" x14ac:dyDescent="0.25">
      <c r="A47" s="56" t="s">
        <v>55</v>
      </c>
      <c r="B47" s="64" t="s">
        <v>56</v>
      </c>
      <c r="C47" s="63" t="s">
        <v>68</v>
      </c>
      <c r="D47" s="59">
        <f>D43/365*184</f>
        <v>633318859.27634013</v>
      </c>
    </row>
    <row r="48" spans="1:4" x14ac:dyDescent="0.25">
      <c r="A48" s="41" t="s">
        <v>57</v>
      </c>
      <c r="B48" s="52"/>
      <c r="C48" s="42"/>
      <c r="D48" s="53" t="s">
        <v>32</v>
      </c>
    </row>
    <row r="49" spans="1:4" x14ac:dyDescent="0.25">
      <c r="A49" s="76" t="s">
        <v>58</v>
      </c>
      <c r="B49" s="84"/>
      <c r="C49" s="75">
        <v>0.95</v>
      </c>
      <c r="D49" s="91">
        <f>D36*C49</f>
        <v>13359872315.361301</v>
      </c>
    </row>
    <row r="50" spans="1:4" x14ac:dyDescent="0.25">
      <c r="A50" s="76" t="s">
        <v>59</v>
      </c>
      <c r="B50" s="85"/>
      <c r="C50" s="75">
        <v>0.1</v>
      </c>
      <c r="D50" s="92">
        <f>C50*D22</f>
        <v>1287569756.8727274</v>
      </c>
    </row>
    <row r="51" spans="1:4" x14ac:dyDescent="0.25">
      <c r="A51" s="76" t="s">
        <v>60</v>
      </c>
      <c r="B51" s="85"/>
      <c r="C51" s="75">
        <v>0.15</v>
      </c>
      <c r="D51" s="92">
        <f>C51*D22</f>
        <v>1931354635.3090906</v>
      </c>
    </row>
    <row r="52" spans="1:4" x14ac:dyDescent="0.25">
      <c r="A52" s="76" t="s">
        <v>61</v>
      </c>
      <c r="B52" s="85"/>
      <c r="C52" s="90">
        <v>0.02</v>
      </c>
      <c r="D52" s="93">
        <f>C52*(D49+D50)</f>
        <v>292948841.44468057</v>
      </c>
    </row>
    <row r="53" spans="1:4" x14ac:dyDescent="0.25">
      <c r="A53" s="76" t="s">
        <v>62</v>
      </c>
      <c r="B53" s="85"/>
      <c r="C53" s="85"/>
      <c r="D53" s="92">
        <f>3200000+0.04%*(D49+D50-5000000000)</f>
        <v>7058976.8288936112</v>
      </c>
    </row>
    <row r="54" spans="1:4" x14ac:dyDescent="0.25">
      <c r="A54" s="47" t="s">
        <v>63</v>
      </c>
      <c r="B54" s="48"/>
      <c r="C54" s="48"/>
      <c r="D54" s="49">
        <f>SUM(D49+D50-D52-D53)</f>
        <v>14347434253.960453</v>
      </c>
    </row>
  </sheetData>
  <mergeCells count="2">
    <mergeCell ref="C1:D1"/>
    <mergeCell ref="A2:D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1514</vt:lpstr>
      <vt:lpstr>1618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Duong Thi Hoa | S1C</cp:lastModifiedBy>
  <cp:lastPrinted>2019-08-29T03:11:26Z</cp:lastPrinted>
  <dcterms:created xsi:type="dcterms:W3CDTF">2019-08-12T09:37:44Z</dcterms:created>
  <dcterms:modified xsi:type="dcterms:W3CDTF">2019-08-29T04:13:16Z</dcterms:modified>
</cp:coreProperties>
</file>