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Ự ÁN\Bình Minh Garden\Thấp tầng\Bảng giá\"/>
    </mc:Choice>
  </mc:AlternateContent>
  <bookViews>
    <workbookView xWindow="600" yWindow="495" windowWidth="26595" windowHeight="10395"/>
  </bookViews>
  <sheets>
    <sheet name="Phiếu tính giá " sheetId="6" r:id="rId1"/>
    <sheet name="Bang gia" sheetId="7" r:id="rId2"/>
    <sheet name="Sheet1" sheetId="2" r:id="rId3"/>
  </sheets>
  <definedNames>
    <definedName name="_xlnm.Print_Area" localSheetId="0">'Phiếu tính giá '!$A$1:$G$37</definedName>
  </definedNames>
  <calcPr calcId="162913"/>
</workbook>
</file>

<file path=xl/calcChain.xml><?xml version="1.0" encoding="utf-8"?>
<calcChain xmlns="http://schemas.openxmlformats.org/spreadsheetml/2006/main">
  <c r="D13" i="6" l="1"/>
  <c r="C10" i="6"/>
  <c r="C6" i="6" l="1"/>
  <c r="C5" i="6"/>
  <c r="D4" i="6"/>
  <c r="I11" i="7" l="1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C7" i="6" s="1"/>
  <c r="G4" i="7"/>
  <c r="K4" i="7" l="1"/>
  <c r="C8" i="6"/>
  <c r="C9" i="6" s="1"/>
  <c r="K5" i="7"/>
  <c r="K6" i="7"/>
  <c r="K7" i="7"/>
  <c r="K8" i="7"/>
  <c r="K9" i="7"/>
  <c r="K10" i="7"/>
  <c r="K11" i="7"/>
  <c r="K12" i="7"/>
  <c r="C11" i="6" l="1"/>
  <c r="E13" i="6"/>
  <c r="E14" i="6" s="1"/>
  <c r="E15" i="6" l="1"/>
  <c r="E16" i="6" s="1"/>
  <c r="J25" i="6"/>
  <c r="D26" i="6" l="1"/>
  <c r="E23" i="6" l="1"/>
  <c r="E24" i="6"/>
  <c r="E17" i="6"/>
  <c r="E25" i="6" l="1"/>
  <c r="E19" i="6"/>
  <c r="D17" i="6"/>
  <c r="E18" i="6" l="1"/>
  <c r="D18" i="6" s="1"/>
  <c r="E26" i="6"/>
  <c r="D19" i="6"/>
  <c r="D16" i="6"/>
  <c r="E20" i="6" l="1"/>
  <c r="F19" i="6" s="1"/>
  <c r="D20" i="6" l="1"/>
</calcChain>
</file>

<file path=xl/sharedStrings.xml><?xml version="1.0" encoding="utf-8"?>
<sst xmlns="http://schemas.openxmlformats.org/spreadsheetml/2006/main" count="68" uniqueCount="57">
  <si>
    <t>Đơn giá xây</t>
  </si>
  <si>
    <t>Tổng giá xây</t>
  </si>
  <si>
    <t>SH2-06</t>
  </si>
  <si>
    <t>STT</t>
  </si>
  <si>
    <t>BẢNG TÍNH GIÁ DỰ ÁN BÌNH MÌNH GARDEN</t>
  </si>
  <si>
    <t>Nội dung</t>
  </si>
  <si>
    <t>Chương trình</t>
  </si>
  <si>
    <t>Tỷ lệ</t>
  </si>
  <si>
    <t>Số tiền</t>
  </si>
  <si>
    <t>Mã lô</t>
  </si>
  <si>
    <t>Diện tích sàn</t>
  </si>
  <si>
    <t>Đợt thanh toán</t>
  </si>
  <si>
    <t>Tỷ lệ TT</t>
  </si>
  <si>
    <t>Giá trị tương ứng</t>
  </si>
  <si>
    <t>Thời hạn nộp tiền</t>
  </si>
  <si>
    <t>Đợt 1 (bao gồm cả tiền đã đặt cọc)</t>
  </si>
  <si>
    <t>Đợt 2</t>
  </si>
  <si>
    <t>TỔNG</t>
  </si>
  <si>
    <t>NGƯỜI LẬP BẢNG</t>
  </si>
  <si>
    <t>Diện tích đất</t>
  </si>
  <si>
    <t>Tổng giá đất niêm yết</t>
  </si>
  <si>
    <t>Không vay</t>
  </si>
  <si>
    <t>SH1-24</t>
  </si>
  <si>
    <t>Chênh lệch (9-10)</t>
  </si>
  <si>
    <t>Tổng giá trị căn nhà sau chiết khấu (chưa bao gồm lệ phí trước bạ và lệ phí làm sổ)</t>
  </si>
  <si>
    <t>Giá trị HĐMB CIV - ĐVTC</t>
  </si>
  <si>
    <t>Số tiền ĐVTC đã TT cho CIV</t>
  </si>
  <si>
    <t>Chương trình "Mua nhà Bình Minh - vi vu xế hộp"</t>
  </si>
  <si>
    <t>CK đặc biệt</t>
  </si>
  <si>
    <t>SH3-01</t>
  </si>
  <si>
    <t>SH3-12B</t>
  </si>
  <si>
    <t>Vay HTLS</t>
  </si>
  <si>
    <t>SH2-30</t>
  </si>
  <si>
    <t>SH2-52A</t>
  </si>
  <si>
    <t>Trong vòng 20 ngày kể từ Đợt 1 - nhận bàn giao căn nhà, hoàn thiện hồ sơ để cấp GCN QSDĐ</t>
  </si>
  <si>
    <t>KH đóng cho Cen Land</t>
  </si>
  <si>
    <t>KH đóng cho Cen Invest</t>
  </si>
  <si>
    <t>SH2-10</t>
  </si>
  <si>
    <t>SH2-29</t>
  </si>
  <si>
    <t>BẢNG GIÁ BMG THẤP TẦNG - THÁNG 1.2021</t>
  </si>
  <si>
    <t>Đặc điểm</t>
  </si>
  <si>
    <t>Diện tích sàn xây dựng</t>
  </si>
  <si>
    <t>Đơn giá đất  niêm yết</t>
  </si>
  <si>
    <t>Chi phí hoàn thiện nội thất</t>
  </si>
  <si>
    <t>Tổng giá BĐS niêm yết</t>
  </si>
  <si>
    <t>Lô góc</t>
  </si>
  <si>
    <t>Khe thoáng</t>
  </si>
  <si>
    <t>Tổng cộng</t>
  </si>
  <si>
    <t xml:space="preserve"> Giá trị đất</t>
  </si>
  <si>
    <t>Giá trị xây dựng</t>
  </si>
  <si>
    <t>Tổng giá trị Đất và Nhà (Đã bao gồm Vat) (=4+5)</t>
  </si>
  <si>
    <t>Chi phí hoàn thiện nội thẩt</t>
  </si>
  <si>
    <t>Tổng giá trị căn nhà (Đất, Nhà và chi phí hoàn thiện nội thất) (=6+7)</t>
  </si>
  <si>
    <t xml:space="preserve">Trước hoặc ngay khi ký VBCN và trong vòng 07 ngày kể từ ngày ký Thỏa thuận đặt cọc </t>
  </si>
  <si>
    <t>Tổng giá trị văn bản chuyển nhượng (KH phải thanh toán cho Cen Land)</t>
  </si>
  <si>
    <t>Số tiền còn lại khách phải thanh toán cho Cen Invest</t>
  </si>
  <si>
    <t>Chính sách ưu đãi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</si>
</sst>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.0%"/>
    <numFmt numFmtId="167" formatCode="_-* #,##0\ _₫_-;\-* #,##0\ _₫_-;_-* &quot;-&quot;??\ _₫_-;_-@_-"/>
  </numFmts>
  <fonts count="1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indexed="8"/>
      <name val="맑은 고딕"/>
      <family val="3"/>
      <charset val="129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7" applyFont="1"/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8" fillId="0" borderId="0" xfId="7" applyFont="1"/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/>
    </xf>
    <xf numFmtId="165" fontId="10" fillId="0" borderId="1" xfId="8" applyNumberFormat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9" fontId="10" fillId="0" borderId="1" xfId="7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/>
    </xf>
    <xf numFmtId="165" fontId="10" fillId="0" borderId="0" xfId="8" applyNumberFormat="1" applyFont="1" applyAlignment="1">
      <alignment horizontal="center" vertical="center"/>
    </xf>
    <xf numFmtId="0" fontId="8" fillId="0" borderId="0" xfId="7" applyFont="1" applyAlignment="1">
      <alignment horizontal="center"/>
    </xf>
    <xf numFmtId="166" fontId="10" fillId="0" borderId="1" xfId="7" applyNumberFormat="1" applyFont="1" applyBorder="1" applyAlignment="1">
      <alignment horizontal="center" vertical="center" wrapText="1"/>
    </xf>
    <xf numFmtId="165" fontId="5" fillId="2" borderId="1" xfId="9" applyNumberFormat="1" applyFont="1" applyFill="1" applyBorder="1" applyAlignment="1">
      <alignment horizontal="center" vertical="center"/>
    </xf>
    <xf numFmtId="167" fontId="10" fillId="0" borderId="0" xfId="9" applyNumberFormat="1" applyFont="1" applyAlignment="1">
      <alignment horizontal="center" vertical="center"/>
    </xf>
    <xf numFmtId="167" fontId="10" fillId="0" borderId="1" xfId="9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left" vertical="center" wrapText="1"/>
    </xf>
    <xf numFmtId="9" fontId="5" fillId="0" borderId="1" xfId="7" applyNumberFormat="1" applyFont="1" applyBorder="1" applyAlignment="1">
      <alignment horizontal="center" vertical="center" wrapText="1"/>
    </xf>
    <xf numFmtId="165" fontId="5" fillId="0" borderId="1" xfId="8" applyNumberFormat="1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165" fontId="8" fillId="0" borderId="0" xfId="1" applyNumberFormat="1" applyFont="1"/>
    <xf numFmtId="165" fontId="8" fillId="0" borderId="0" xfId="7" applyNumberFormat="1" applyFont="1"/>
    <xf numFmtId="166" fontId="8" fillId="0" borderId="0" xfId="12" applyNumberFormat="1" applyFont="1"/>
    <xf numFmtId="43" fontId="8" fillId="0" borderId="0" xfId="7" applyNumberFormat="1" applyFont="1"/>
    <xf numFmtId="0" fontId="12" fillId="0" borderId="0" xfId="7" applyFont="1" applyAlignment="1"/>
    <xf numFmtId="165" fontId="12" fillId="0" borderId="0" xfId="1" applyNumberFormat="1" applyFont="1" applyAlignment="1"/>
    <xf numFmtId="166" fontId="8" fillId="0" borderId="0" xfId="12" applyNumberFormat="1" applyFont="1" applyAlignment="1">
      <alignment horizontal="center"/>
    </xf>
    <xf numFmtId="0" fontId="8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165" fontId="8" fillId="0" borderId="1" xfId="1" applyNumberFormat="1" applyFont="1" applyBorder="1"/>
    <xf numFmtId="165" fontId="8" fillId="0" borderId="1" xfId="7" applyNumberFormat="1" applyFont="1" applyBorder="1"/>
    <xf numFmtId="166" fontId="8" fillId="0" borderId="1" xfId="12" applyNumberFormat="1" applyFont="1" applyBorder="1"/>
    <xf numFmtId="0" fontId="9" fillId="0" borderId="2" xfId="7" applyFont="1" applyBorder="1" applyAlignment="1">
      <alignment horizontal="center" vertical="center" wrapText="1"/>
    </xf>
    <xf numFmtId="165" fontId="8" fillId="0" borderId="2" xfId="7" applyNumberFormat="1" applyFont="1" applyBorder="1"/>
    <xf numFmtId="167" fontId="8" fillId="0" borderId="0" xfId="7" applyNumberFormat="1" applyFont="1" applyAlignment="1">
      <alignment horizontal="center"/>
    </xf>
    <xf numFmtId="0" fontId="5" fillId="0" borderId="1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center" vertical="center" wrapText="1"/>
    </xf>
    <xf numFmtId="165" fontId="5" fillId="0" borderId="1" xfId="9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vertical="center" wrapText="1"/>
    </xf>
    <xf numFmtId="0" fontId="10" fillId="0" borderId="3" xfId="7" applyFont="1" applyFill="1" applyBorder="1" applyAlignment="1">
      <alignment horizontal="center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67" fontId="5" fillId="0" borderId="3" xfId="9" applyNumberFormat="1" applyFont="1" applyBorder="1" applyAlignment="1">
      <alignment horizontal="left" vertical="center"/>
    </xf>
    <xf numFmtId="0" fontId="8" fillId="0" borderId="1" xfId="7" applyFont="1" applyBorder="1"/>
    <xf numFmtId="9" fontId="10" fillId="0" borderId="1" xfId="12" applyFont="1" applyFill="1" applyBorder="1" applyAlignment="1">
      <alignment horizontal="center" vertical="center" wrapText="1"/>
    </xf>
    <xf numFmtId="166" fontId="10" fillId="0" borderId="1" xfId="12" applyNumberFormat="1" applyFont="1" applyFill="1" applyBorder="1" applyAlignment="1">
      <alignment horizontal="center" vertical="center" wrapText="1"/>
    </xf>
    <xf numFmtId="9" fontId="5" fillId="0" borderId="1" xfId="7" applyNumberFormat="1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wrapText="1"/>
    </xf>
    <xf numFmtId="165" fontId="9" fillId="0" borderId="0" xfId="7" applyNumberFormat="1" applyFont="1" applyFill="1" applyBorder="1" applyAlignment="1">
      <alignment horizontal="center" wrapText="1"/>
    </xf>
    <xf numFmtId="167" fontId="9" fillId="0" borderId="0" xfId="7" applyNumberFormat="1" applyFont="1" applyFill="1" applyBorder="1" applyAlignment="1">
      <alignment horizontal="center" wrapText="1"/>
    </xf>
    <xf numFmtId="0" fontId="9" fillId="0" borderId="0" xfId="7" applyFont="1" applyFill="1" applyBorder="1" applyAlignment="1">
      <alignment horizontal="center" wrapText="1"/>
    </xf>
    <xf numFmtId="165" fontId="10" fillId="0" borderId="0" xfId="7" applyNumberFormat="1" applyFont="1" applyAlignment="1">
      <alignment horizontal="center" vertical="center"/>
    </xf>
    <xf numFmtId="9" fontId="8" fillId="0" borderId="0" xfId="7" applyNumberFormat="1" applyFont="1"/>
    <xf numFmtId="10" fontId="8" fillId="0" borderId="0" xfId="7" applyNumberFormat="1" applyFont="1"/>
    <xf numFmtId="0" fontId="5" fillId="0" borderId="1" xfId="7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/>
    </xf>
    <xf numFmtId="165" fontId="8" fillId="0" borderId="0" xfId="7" applyNumberFormat="1" applyFont="1" applyAlignment="1">
      <alignment horizontal="center"/>
    </xf>
    <xf numFmtId="165" fontId="9" fillId="0" borderId="0" xfId="1" applyNumberFormat="1" applyFont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Fill="1"/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65" fontId="14" fillId="0" borderId="1" xfId="8" applyNumberFormat="1" applyFont="1" applyBorder="1"/>
    <xf numFmtId="165" fontId="14" fillId="0" borderId="1" xfId="0" applyNumberFormat="1" applyFont="1" applyBorder="1"/>
    <xf numFmtId="165" fontId="14" fillId="0" borderId="1" xfId="8" applyNumberFormat="1" applyFont="1" applyFill="1" applyBorder="1"/>
    <xf numFmtId="165" fontId="14" fillId="0" borderId="1" xfId="0" applyNumberFormat="1" applyFont="1" applyFill="1" applyBorder="1"/>
    <xf numFmtId="0" fontId="14" fillId="0" borderId="1" xfId="0" applyFont="1" applyFill="1" applyBorder="1"/>
    <xf numFmtId="0" fontId="9" fillId="0" borderId="1" xfId="0" applyFont="1" applyBorder="1"/>
    <xf numFmtId="165" fontId="9" fillId="0" borderId="1" xfId="0" applyNumberFormat="1" applyFont="1" applyBorder="1"/>
    <xf numFmtId="165" fontId="10" fillId="0" borderId="1" xfId="1" applyNumberFormat="1" applyFont="1" applyBorder="1" applyAlignment="1">
      <alignment horizontal="center" vertical="center"/>
    </xf>
    <xf numFmtId="0" fontId="17" fillId="0" borderId="1" xfId="7" applyFont="1" applyBorder="1" applyAlignment="1">
      <alignment vertical="center" wrapText="1"/>
    </xf>
    <xf numFmtId="0" fontId="15" fillId="0" borderId="1" xfId="7" applyFont="1" applyBorder="1" applyAlignment="1">
      <alignment vertical="center" wrapText="1"/>
    </xf>
    <xf numFmtId="9" fontId="10" fillId="0" borderId="1" xfId="12" applyFont="1" applyBorder="1" applyAlignment="1">
      <alignment horizontal="center" vertical="center" wrapText="1"/>
    </xf>
    <xf numFmtId="167" fontId="18" fillId="0" borderId="5" xfId="7" applyNumberFormat="1" applyFont="1" applyBorder="1" applyAlignment="1">
      <alignment vertical="center"/>
    </xf>
    <xf numFmtId="165" fontId="15" fillId="0" borderId="1" xfId="1" applyNumberFormat="1" applyFont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top"/>
    </xf>
    <xf numFmtId="0" fontId="5" fillId="0" borderId="1" xfId="7" applyFont="1" applyBorder="1" applyAlignment="1">
      <alignment horizontal="center" vertical="center" wrapText="1"/>
    </xf>
    <xf numFmtId="167" fontId="5" fillId="2" borderId="1" xfId="9" applyNumberFormat="1" applyFont="1" applyFill="1" applyBorder="1" applyAlignment="1">
      <alignment horizontal="left" vertical="center"/>
    </xf>
    <xf numFmtId="0" fontId="10" fillId="0" borderId="4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left" vertical="center" wrapText="1"/>
    </xf>
    <xf numFmtId="0" fontId="10" fillId="0" borderId="5" xfId="7" applyFont="1" applyBorder="1" applyAlignment="1">
      <alignment horizontal="left" vertical="center" wrapText="1"/>
    </xf>
    <xf numFmtId="165" fontId="10" fillId="0" borderId="4" xfId="9" applyNumberFormat="1" applyFont="1" applyBorder="1" applyAlignment="1">
      <alignment horizontal="left" vertical="center" wrapText="1"/>
    </xf>
    <xf numFmtId="165" fontId="10" fillId="0" borderId="5" xfId="9" applyNumberFormat="1" applyFont="1" applyBorder="1" applyAlignment="1">
      <alignment horizontal="left" vertical="center" wrapText="1"/>
    </xf>
    <xf numFmtId="167" fontId="18" fillId="0" borderId="4" xfId="7" applyNumberFormat="1" applyFont="1" applyBorder="1" applyAlignment="1">
      <alignment horizontal="center" vertical="center"/>
    </xf>
    <xf numFmtId="167" fontId="18" fillId="0" borderId="5" xfId="7" applyNumberFormat="1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13">
    <cellStyle name="Comma" xfId="1" builtinId="3"/>
    <cellStyle name="Comma 2" xfId="2"/>
    <cellStyle name="Comma 2 2" xfId="9"/>
    <cellStyle name="Comma 3" xfId="8"/>
    <cellStyle name="Comma 4" xfId="3"/>
    <cellStyle name="Normal" xfId="0" builtinId="0"/>
    <cellStyle name="Normal 2" xfId="4"/>
    <cellStyle name="Normal 2 2" xfId="11"/>
    <cellStyle name="Normal 3" xfId="5"/>
    <cellStyle name="Normal 4" xfId="7"/>
    <cellStyle name="Percent" xfId="12" builtinId="5"/>
    <cellStyle name="Percent 2" xfId="6"/>
    <cellStyle name="Percent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80" zoomScaleNormal="80" zoomScaleSheetLayoutView="70" workbookViewId="0">
      <selection activeCell="I15" sqref="I15"/>
    </sheetView>
  </sheetViews>
  <sheetFormatPr defaultColWidth="8.125" defaultRowHeight="15"/>
  <cols>
    <col min="1" max="1" width="7" style="5" customWidth="1"/>
    <col min="2" max="2" width="34.75" style="5" customWidth="1"/>
    <col min="3" max="3" width="17.125" style="19" customWidth="1"/>
    <col min="4" max="4" width="13.625" style="19" customWidth="1"/>
    <col min="5" max="5" width="19.125" style="19" customWidth="1"/>
    <col min="6" max="6" width="29.875" style="5" customWidth="1"/>
    <col min="7" max="7" width="21.375" style="5" customWidth="1"/>
    <col min="8" max="10" width="12.625" style="5" customWidth="1"/>
    <col min="11" max="11" width="13.25" style="5" bestFit="1" customWidth="1"/>
    <col min="12" max="13" width="12.625" style="5" customWidth="1"/>
    <col min="14" max="14" width="14" style="5" customWidth="1"/>
    <col min="15" max="15" width="10.5" style="5" bestFit="1" customWidth="1"/>
    <col min="16" max="16" width="5.875" style="5" customWidth="1"/>
    <col min="17" max="17" width="12.75" style="5" bestFit="1" customWidth="1"/>
    <col min="18" max="18" width="6.25" style="5" customWidth="1"/>
    <col min="19" max="16384" width="8.125" style="5"/>
  </cols>
  <sheetData>
    <row r="1" spans="1:11" s="1" customFormat="1" ht="25.5" customHeight="1">
      <c r="A1" s="93" t="s">
        <v>4</v>
      </c>
      <c r="B1" s="93"/>
      <c r="C1" s="93"/>
      <c r="D1" s="93"/>
      <c r="E1" s="93"/>
      <c r="F1" s="93"/>
    </row>
    <row r="2" spans="1:11" s="1" customFormat="1" ht="6.75" customHeight="1">
      <c r="A2" s="94"/>
      <c r="B2" s="94"/>
      <c r="C2" s="94"/>
      <c r="D2" s="94"/>
      <c r="E2" s="94"/>
      <c r="F2" s="94"/>
    </row>
    <row r="3" spans="1:11" s="10" customFormat="1" ht="29.25" customHeight="1">
      <c r="A3" s="2" t="s">
        <v>3</v>
      </c>
      <c r="B3" s="2" t="s">
        <v>5</v>
      </c>
      <c r="C3" s="2" t="s">
        <v>6</v>
      </c>
      <c r="D3" s="69" t="s">
        <v>7</v>
      </c>
      <c r="E3" s="69" t="s">
        <v>8</v>
      </c>
      <c r="F3" s="4"/>
    </row>
    <row r="4" spans="1:11" s="10" customFormat="1" ht="27.75" customHeight="1">
      <c r="A4" s="6">
        <v>1</v>
      </c>
      <c r="B4" s="7" t="s">
        <v>9</v>
      </c>
      <c r="C4" s="70" t="s">
        <v>2</v>
      </c>
      <c r="D4" s="65">
        <f>VLOOKUP(C4,'Bang gia'!$B$4:$K$12,2,0)</f>
        <v>0</v>
      </c>
      <c r="E4" s="8"/>
      <c r="F4" s="9"/>
    </row>
    <row r="5" spans="1:11" s="10" customFormat="1" ht="27.75" customHeight="1">
      <c r="A5" s="6">
        <v>2</v>
      </c>
      <c r="B5" s="7" t="s">
        <v>19</v>
      </c>
      <c r="C5" s="6">
        <f>VLOOKUP($C$4,'Bang gia'!$B$4:$K$12,3,0)</f>
        <v>94.6</v>
      </c>
      <c r="D5" s="3"/>
      <c r="E5" s="8"/>
      <c r="F5" s="9"/>
    </row>
    <row r="6" spans="1:11" s="10" customFormat="1" ht="27.75" customHeight="1">
      <c r="A6" s="6">
        <v>3</v>
      </c>
      <c r="B6" s="11" t="s">
        <v>10</v>
      </c>
      <c r="C6" s="6">
        <f>VLOOKUP($C$4,'Bang gia'!$B$4:$K$12,4,0)</f>
        <v>354.5</v>
      </c>
      <c r="D6" s="12"/>
      <c r="E6" s="13"/>
      <c r="F6" s="9"/>
    </row>
    <row r="7" spans="1:11" s="10" customFormat="1" ht="27.75" customHeight="1">
      <c r="A7" s="6">
        <v>4</v>
      </c>
      <c r="B7" s="87" t="s">
        <v>48</v>
      </c>
      <c r="C7" s="86">
        <f>VLOOKUP($C$4,'Bang gia'!$B$4:$K$12,8,0)</f>
        <v>11895691647.4</v>
      </c>
      <c r="D7" s="12"/>
      <c r="E7" s="14"/>
      <c r="F7" s="9"/>
    </row>
    <row r="8" spans="1:11" s="10" customFormat="1" ht="27.75" customHeight="1">
      <c r="A8" s="6">
        <v>5</v>
      </c>
      <c r="B8" s="87" t="s">
        <v>49</v>
      </c>
      <c r="C8" s="86">
        <f>VLOOKUP($C$4,'Bang gia'!$B$4:$K$12,6,0)</f>
        <v>1949750000</v>
      </c>
      <c r="D8" s="12"/>
      <c r="E8" s="14"/>
      <c r="F8" s="9"/>
    </row>
    <row r="9" spans="1:11" s="10" customFormat="1" ht="35.25" customHeight="1">
      <c r="A9" s="6">
        <v>6</v>
      </c>
      <c r="B9" s="87" t="s">
        <v>50</v>
      </c>
      <c r="C9" s="86">
        <f>C7+C8</f>
        <v>13845441647.4</v>
      </c>
      <c r="D9" s="12"/>
      <c r="E9" s="14"/>
      <c r="F9" s="9"/>
    </row>
    <row r="10" spans="1:11" s="10" customFormat="1" ht="27.75" customHeight="1">
      <c r="A10" s="6">
        <v>7</v>
      </c>
      <c r="B10" s="87" t="s">
        <v>51</v>
      </c>
      <c r="C10" s="86">
        <f>VLOOKUP($C$4,'Bang gia'!$B$4:$K$12,9,0)</f>
        <v>0</v>
      </c>
      <c r="D10" s="12"/>
      <c r="E10" s="14"/>
      <c r="F10" s="9"/>
    </row>
    <row r="11" spans="1:11" ht="39.75" customHeight="1">
      <c r="A11" s="6">
        <v>8</v>
      </c>
      <c r="B11" s="88" t="s">
        <v>52</v>
      </c>
      <c r="C11" s="91">
        <f>ROUND(C9+C10,0)</f>
        <v>13845441647</v>
      </c>
      <c r="D11" s="16"/>
      <c r="E11" s="17"/>
      <c r="F11" s="18"/>
    </row>
    <row r="12" spans="1:11" ht="36.75" customHeight="1">
      <c r="A12" s="6">
        <v>9</v>
      </c>
      <c r="B12" s="11" t="s">
        <v>27</v>
      </c>
      <c r="C12" s="86"/>
      <c r="D12" s="16"/>
      <c r="E12" s="17">
        <v>600000000</v>
      </c>
      <c r="F12" s="18"/>
    </row>
    <row r="13" spans="1:11" ht="29.25" customHeight="1">
      <c r="A13" s="6">
        <v>10</v>
      </c>
      <c r="B13" s="11" t="s">
        <v>56</v>
      </c>
      <c r="C13" s="15" t="s">
        <v>31</v>
      </c>
      <c r="D13" s="20">
        <f>IF(C13="Không vay",11%,0)</f>
        <v>0</v>
      </c>
      <c r="E13" s="17">
        <f>IF(C13="Không vay",ROUND(D13*(C9-E12),0),0)</f>
        <v>0</v>
      </c>
      <c r="F13" s="9"/>
      <c r="H13" s="63"/>
      <c r="I13" s="63"/>
      <c r="J13" s="63"/>
      <c r="K13" s="64"/>
    </row>
    <row r="14" spans="1:11" ht="33" customHeight="1">
      <c r="A14" s="6">
        <v>11</v>
      </c>
      <c r="B14" s="11" t="s">
        <v>28</v>
      </c>
      <c r="C14" s="15"/>
      <c r="D14" s="89"/>
      <c r="E14" s="17">
        <f>ROUND(D14*(C9-E12-E13),0)</f>
        <v>0</v>
      </c>
      <c r="F14" s="62"/>
      <c r="G14" s="63"/>
      <c r="H14" s="29"/>
      <c r="I14" s="29"/>
      <c r="J14" s="29"/>
      <c r="K14" s="31"/>
    </row>
    <row r="15" spans="1:11" ht="52.5" customHeight="1">
      <c r="A15" s="6">
        <v>12</v>
      </c>
      <c r="B15" s="44" t="s">
        <v>24</v>
      </c>
      <c r="C15" s="45"/>
      <c r="D15" s="57">
        <v>1</v>
      </c>
      <c r="E15" s="21">
        <f>ROUND(C11-E12-E13-E14,0)</f>
        <v>13245441647</v>
      </c>
      <c r="F15" s="22"/>
      <c r="H15" s="63"/>
    </row>
    <row r="16" spans="1:11" ht="31.5" customHeight="1">
      <c r="A16" s="6">
        <v>13</v>
      </c>
      <c r="B16" s="47" t="s">
        <v>25</v>
      </c>
      <c r="C16" s="15"/>
      <c r="D16" s="56">
        <f>E16/E15</f>
        <v>0.98499999997772814</v>
      </c>
      <c r="E16" s="48">
        <f>ROUND(E15*(1-1.5%),0)</f>
        <v>13046760022</v>
      </c>
      <c r="F16" s="22"/>
      <c r="H16" s="28"/>
      <c r="J16" s="28"/>
      <c r="K16" s="31"/>
    </row>
    <row r="17" spans="1:10" ht="31.5" customHeight="1">
      <c r="A17" s="6">
        <v>14</v>
      </c>
      <c r="B17" s="47" t="s">
        <v>23</v>
      </c>
      <c r="C17" s="15"/>
      <c r="D17" s="56">
        <f>E17/E15</f>
        <v>1.5000000022271812E-2</v>
      </c>
      <c r="E17" s="48">
        <f>E15-E16</f>
        <v>198681625</v>
      </c>
      <c r="F17" s="22"/>
    </row>
    <row r="18" spans="1:10" ht="31.5" customHeight="1">
      <c r="A18" s="6">
        <v>15</v>
      </c>
      <c r="B18" s="47" t="s">
        <v>26</v>
      </c>
      <c r="C18" s="15"/>
      <c r="D18" s="56">
        <f>E18/E15</f>
        <v>0.9349999999777282</v>
      </c>
      <c r="E18" s="48">
        <f>E19-E17</f>
        <v>12384487939.65</v>
      </c>
      <c r="F18" s="22"/>
      <c r="J18" s="28"/>
    </row>
    <row r="19" spans="1:10" ht="54.75" customHeight="1">
      <c r="A19" s="6">
        <v>16</v>
      </c>
      <c r="B19" s="44" t="s">
        <v>54</v>
      </c>
      <c r="C19" s="15"/>
      <c r="D19" s="55">
        <f>E19/E15</f>
        <v>0.95</v>
      </c>
      <c r="E19" s="46">
        <f>E15*95%</f>
        <v>12583169564.65</v>
      </c>
      <c r="F19" s="96">
        <f>E19+E20</f>
        <v>13245441647</v>
      </c>
    </row>
    <row r="20" spans="1:10" ht="42" customHeight="1">
      <c r="A20" s="6">
        <v>17</v>
      </c>
      <c r="B20" s="44" t="s">
        <v>55</v>
      </c>
      <c r="C20" s="15"/>
      <c r="D20" s="55">
        <f>E20/E15</f>
        <v>5.0000000000000031E-2</v>
      </c>
      <c r="E20" s="46">
        <f>E16-E18</f>
        <v>662272082.35000038</v>
      </c>
      <c r="F20" s="96"/>
      <c r="G20" s="28"/>
    </row>
    <row r="21" spans="1:10" ht="14.25" customHeight="1">
      <c r="A21" s="49"/>
      <c r="B21" s="50"/>
      <c r="C21" s="51"/>
      <c r="D21" s="51"/>
      <c r="E21" s="52"/>
      <c r="F21" s="53"/>
    </row>
    <row r="22" spans="1:10" ht="28.5" customHeight="1">
      <c r="A22" s="3" t="s">
        <v>3</v>
      </c>
      <c r="B22" s="3" t="s">
        <v>11</v>
      </c>
      <c r="C22" s="3"/>
      <c r="D22" s="3" t="s">
        <v>12</v>
      </c>
      <c r="E22" s="3" t="s">
        <v>13</v>
      </c>
      <c r="F22" s="3" t="s">
        <v>14</v>
      </c>
      <c r="G22" s="54"/>
    </row>
    <row r="23" spans="1:10" ht="53.25" customHeight="1">
      <c r="A23" s="12">
        <v>1</v>
      </c>
      <c r="B23" s="7" t="s">
        <v>15</v>
      </c>
      <c r="C23" s="16"/>
      <c r="D23" s="16">
        <v>0.3</v>
      </c>
      <c r="E23" s="23">
        <f>ROUND(D23*$E$15,0)</f>
        <v>3973632494</v>
      </c>
      <c r="F23" s="24" t="s">
        <v>53</v>
      </c>
      <c r="G23" s="103" t="s">
        <v>35</v>
      </c>
    </row>
    <row r="24" spans="1:10" ht="46.5" customHeight="1">
      <c r="A24" s="97">
        <v>2</v>
      </c>
      <c r="B24" s="99" t="s">
        <v>16</v>
      </c>
      <c r="C24" s="16"/>
      <c r="D24" s="16">
        <v>0.65</v>
      </c>
      <c r="E24" s="23">
        <f>ROUND(D24*$E$15,0)</f>
        <v>8609537071</v>
      </c>
      <c r="F24" s="101" t="s">
        <v>34</v>
      </c>
      <c r="G24" s="104"/>
    </row>
    <row r="25" spans="1:10" ht="54" customHeight="1">
      <c r="A25" s="98"/>
      <c r="B25" s="100"/>
      <c r="C25" s="16"/>
      <c r="D25" s="16">
        <v>0.05</v>
      </c>
      <c r="E25" s="23">
        <f>ROUND(E15-E23-E24,0)</f>
        <v>662272082</v>
      </c>
      <c r="F25" s="102"/>
      <c r="G25" s="90" t="s">
        <v>36</v>
      </c>
      <c r="J25" s="5">
        <f>50*6/12*10%</f>
        <v>2.5</v>
      </c>
    </row>
    <row r="26" spans="1:10" ht="42" customHeight="1">
      <c r="A26" s="95" t="s">
        <v>17</v>
      </c>
      <c r="B26" s="95"/>
      <c r="C26" s="25"/>
      <c r="D26" s="25">
        <f>SUM(D23:D25)</f>
        <v>1</v>
      </c>
      <c r="E26" s="26">
        <f>SUM(E23:E25)</f>
        <v>13245441647</v>
      </c>
      <c r="F26" s="24"/>
      <c r="G26" s="54"/>
    </row>
    <row r="28" spans="1:10" ht="4.5" customHeight="1"/>
    <row r="29" spans="1:10" ht="28.5" customHeight="1">
      <c r="B29" s="58"/>
      <c r="C29" s="59"/>
      <c r="D29" s="92" t="s">
        <v>18</v>
      </c>
      <c r="E29" s="92"/>
      <c r="F29" s="92"/>
    </row>
    <row r="30" spans="1:10">
      <c r="B30" s="58"/>
      <c r="C30" s="60"/>
      <c r="D30" s="27"/>
      <c r="E30" s="27"/>
      <c r="F30" s="68"/>
    </row>
    <row r="31" spans="1:10">
      <c r="B31" s="58"/>
      <c r="C31" s="61"/>
      <c r="E31" s="66"/>
      <c r="F31" s="28"/>
    </row>
    <row r="33" spans="4:13">
      <c r="D33" s="34"/>
      <c r="E33" s="67"/>
      <c r="F33" s="29"/>
    </row>
    <row r="34" spans="4:13">
      <c r="E34" s="43"/>
      <c r="F34" s="28"/>
    </row>
    <row r="35" spans="4:13">
      <c r="D35" s="32"/>
      <c r="E35" s="33"/>
      <c r="F35" s="33"/>
    </row>
    <row r="36" spans="4:13">
      <c r="E36" s="67"/>
      <c r="F36" s="28"/>
      <c r="G36" s="28"/>
      <c r="H36" s="29"/>
      <c r="I36" s="29"/>
      <c r="J36" s="29"/>
      <c r="K36" s="29"/>
      <c r="L36" s="29"/>
      <c r="M36" s="29"/>
    </row>
    <row r="37" spans="4:13">
      <c r="E37" s="34"/>
      <c r="F37" s="28"/>
    </row>
    <row r="38" spans="4:13">
      <c r="F38" s="28"/>
    </row>
    <row r="39" spans="4:13">
      <c r="F39" s="28"/>
    </row>
    <row r="40" spans="4:13">
      <c r="F40" s="31"/>
    </row>
    <row r="41" spans="4:13">
      <c r="F41" s="30"/>
    </row>
    <row r="45" spans="4:13">
      <c r="F45" s="28"/>
    </row>
    <row r="46" spans="4:13">
      <c r="F46" s="30"/>
    </row>
    <row r="53" spans="5:18"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5:18">
      <c r="E54" s="36"/>
      <c r="F54" s="36"/>
      <c r="G54" s="37"/>
      <c r="H54" s="41"/>
      <c r="I54" s="37"/>
      <c r="J54" s="105"/>
      <c r="K54" s="105"/>
      <c r="L54" s="105"/>
      <c r="M54" s="105"/>
      <c r="N54" s="37"/>
      <c r="O54" s="105"/>
      <c r="P54" s="105"/>
      <c r="Q54" s="105"/>
      <c r="R54" s="105"/>
    </row>
    <row r="55" spans="5:18">
      <c r="E55" s="35"/>
      <c r="F55" s="35"/>
      <c r="G55" s="38"/>
      <c r="H55" s="42"/>
      <c r="I55" s="39"/>
      <c r="J55" s="39"/>
      <c r="K55" s="40"/>
      <c r="L55" s="39"/>
      <c r="M55" s="40"/>
      <c r="N55" s="38"/>
      <c r="O55" s="38"/>
      <c r="P55" s="40"/>
      <c r="Q55" s="38"/>
      <c r="R55" s="40"/>
    </row>
  </sheetData>
  <mergeCells count="15">
    <mergeCell ref="G23:G24"/>
    <mergeCell ref="O54:P54"/>
    <mergeCell ref="Q54:R54"/>
    <mergeCell ref="J54:K54"/>
    <mergeCell ref="L54:M54"/>
    <mergeCell ref="I53:M53"/>
    <mergeCell ref="N53:R53"/>
    <mergeCell ref="D29:F29"/>
    <mergeCell ref="A1:F1"/>
    <mergeCell ref="A2:F2"/>
    <mergeCell ref="A26:B26"/>
    <mergeCell ref="F19:F20"/>
    <mergeCell ref="A24:A25"/>
    <mergeCell ref="B24:B25"/>
    <mergeCell ref="F24:F25"/>
  </mergeCells>
  <pageMargins left="0.59055118110236227" right="0.5118110236220472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C14</xm:sqref>
        </x14:dataValidation>
        <x14:dataValidation type="list" allowBlank="1" showInputMessage="1" showErrorMessage="1">
          <x14:formula1>
            <xm:f>Sheet1!$B$2:$B$4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6" sqref="M16"/>
    </sheetView>
  </sheetViews>
  <sheetFormatPr defaultRowHeight="15.75"/>
  <cols>
    <col min="1" max="1" width="6.25" customWidth="1"/>
    <col min="3" max="3" width="11.875" customWidth="1"/>
    <col min="6" max="7" width="14.25" customWidth="1"/>
    <col min="8" max="10" width="13.875" customWidth="1"/>
    <col min="11" max="11" width="18.125" bestFit="1" customWidth="1"/>
  </cols>
  <sheetData>
    <row r="1" spans="1:11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8.25">
      <c r="A3" s="73" t="s">
        <v>3</v>
      </c>
      <c r="B3" s="74" t="s">
        <v>9</v>
      </c>
      <c r="C3" s="74" t="s">
        <v>40</v>
      </c>
      <c r="D3" s="74" t="s">
        <v>19</v>
      </c>
      <c r="E3" s="74" t="s">
        <v>41</v>
      </c>
      <c r="F3" s="74" t="s">
        <v>0</v>
      </c>
      <c r="G3" s="75" t="s">
        <v>1</v>
      </c>
      <c r="H3" s="76" t="s">
        <v>42</v>
      </c>
      <c r="I3" s="76" t="s">
        <v>20</v>
      </c>
      <c r="J3" s="76" t="s">
        <v>43</v>
      </c>
      <c r="K3" s="76" t="s">
        <v>44</v>
      </c>
    </row>
    <row r="4" spans="1:11" ht="19.5" customHeight="1">
      <c r="A4" s="77">
        <v>1</v>
      </c>
      <c r="B4" s="78" t="s">
        <v>22</v>
      </c>
      <c r="C4" s="78" t="s">
        <v>45</v>
      </c>
      <c r="D4" s="78">
        <v>142.4</v>
      </c>
      <c r="E4" s="78">
        <v>408.4</v>
      </c>
      <c r="F4" s="79">
        <v>5500000</v>
      </c>
      <c r="G4" s="80">
        <f t="shared" ref="G4:G11" si="0">E4*F4</f>
        <v>2246200000</v>
      </c>
      <c r="H4" s="81">
        <v>140366160.82474226</v>
      </c>
      <c r="I4" s="81">
        <f>H4*D4</f>
        <v>19988141301.443298</v>
      </c>
      <c r="J4" s="81"/>
      <c r="K4" s="81">
        <f>G4+I4+J4</f>
        <v>22234341301.443298</v>
      </c>
    </row>
    <row r="5" spans="1:11" ht="19.5" customHeight="1">
      <c r="A5" s="77">
        <v>2</v>
      </c>
      <c r="B5" s="78" t="s">
        <v>2</v>
      </c>
      <c r="C5" s="78"/>
      <c r="D5" s="78">
        <v>94.6</v>
      </c>
      <c r="E5" s="78">
        <v>354.5</v>
      </c>
      <c r="F5" s="79">
        <v>5500000</v>
      </c>
      <c r="G5" s="80">
        <f t="shared" si="0"/>
        <v>1949750000</v>
      </c>
      <c r="H5" s="81">
        <v>125747269</v>
      </c>
      <c r="I5" s="81">
        <f t="shared" ref="I5:I11" si="1">H5*D5</f>
        <v>11895691647.4</v>
      </c>
      <c r="J5" s="81"/>
      <c r="K5" s="81">
        <f t="shared" ref="K5:K11" si="2">G5+I5+J5</f>
        <v>13845441647.4</v>
      </c>
    </row>
    <row r="6" spans="1:11" s="71" customFormat="1" ht="19.5" customHeight="1">
      <c r="A6" s="77">
        <v>3</v>
      </c>
      <c r="B6" s="83" t="s">
        <v>37</v>
      </c>
      <c r="C6" s="83" t="s">
        <v>46</v>
      </c>
      <c r="D6" s="83">
        <v>94.6</v>
      </c>
      <c r="E6" s="83">
        <v>354.5</v>
      </c>
      <c r="F6" s="81">
        <v>5500000</v>
      </c>
      <c r="G6" s="82">
        <f t="shared" si="0"/>
        <v>1949750000</v>
      </c>
      <c r="H6" s="81">
        <v>140000000</v>
      </c>
      <c r="I6" s="81">
        <f t="shared" si="1"/>
        <v>13244000000</v>
      </c>
      <c r="J6" s="81">
        <v>2587179723</v>
      </c>
      <c r="K6" s="81">
        <f t="shared" si="2"/>
        <v>17780929723</v>
      </c>
    </row>
    <row r="7" spans="1:11" s="71" customFormat="1" ht="19.5" customHeight="1">
      <c r="A7" s="77">
        <v>4</v>
      </c>
      <c r="B7" s="83" t="s">
        <v>38</v>
      </c>
      <c r="C7" s="83" t="s">
        <v>45</v>
      </c>
      <c r="D7" s="83">
        <v>133.9</v>
      </c>
      <c r="E7" s="83">
        <v>374.1</v>
      </c>
      <c r="F7" s="81">
        <v>5500000</v>
      </c>
      <c r="G7" s="82">
        <f t="shared" si="0"/>
        <v>2057550000.0000002</v>
      </c>
      <c r="H7" s="81">
        <v>151000000</v>
      </c>
      <c r="I7" s="81">
        <f t="shared" si="1"/>
        <v>20218900000</v>
      </c>
      <c r="J7" s="81"/>
      <c r="K7" s="81">
        <f t="shared" si="2"/>
        <v>22276450000</v>
      </c>
    </row>
    <row r="8" spans="1:11" ht="19.5" customHeight="1">
      <c r="A8" s="77">
        <v>5</v>
      </c>
      <c r="B8" s="78" t="s">
        <v>32</v>
      </c>
      <c r="C8" s="78" t="s">
        <v>45</v>
      </c>
      <c r="D8" s="78">
        <v>124.4</v>
      </c>
      <c r="E8" s="78">
        <v>342</v>
      </c>
      <c r="F8" s="79">
        <v>5500000</v>
      </c>
      <c r="G8" s="80">
        <f t="shared" si="0"/>
        <v>1881000000</v>
      </c>
      <c r="H8" s="81">
        <v>133449570.10309279</v>
      </c>
      <c r="I8" s="81">
        <f t="shared" si="1"/>
        <v>16601126520.824743</v>
      </c>
      <c r="J8" s="81"/>
      <c r="K8" s="81">
        <f t="shared" si="2"/>
        <v>18482126520.824745</v>
      </c>
    </row>
    <row r="9" spans="1:11" ht="19.5" customHeight="1">
      <c r="A9" s="77">
        <v>6</v>
      </c>
      <c r="B9" s="78" t="s">
        <v>33</v>
      </c>
      <c r="C9" s="78" t="s">
        <v>45</v>
      </c>
      <c r="D9" s="78">
        <v>124.4</v>
      </c>
      <c r="E9" s="78">
        <v>342</v>
      </c>
      <c r="F9" s="79">
        <v>5500000</v>
      </c>
      <c r="G9" s="80">
        <f t="shared" si="0"/>
        <v>1881000000</v>
      </c>
      <c r="H9" s="81">
        <v>133449570.10309279</v>
      </c>
      <c r="I9" s="81">
        <f t="shared" si="1"/>
        <v>16601126520.824743</v>
      </c>
      <c r="J9" s="81"/>
      <c r="K9" s="81">
        <f t="shared" si="2"/>
        <v>18482126520.824745</v>
      </c>
    </row>
    <row r="10" spans="1:11" ht="19.5" customHeight="1">
      <c r="A10" s="77">
        <v>7</v>
      </c>
      <c r="B10" s="78" t="s">
        <v>29</v>
      </c>
      <c r="C10" s="78" t="s">
        <v>45</v>
      </c>
      <c r="D10" s="78">
        <v>173.4</v>
      </c>
      <c r="E10" s="78">
        <v>458.8</v>
      </c>
      <c r="F10" s="79">
        <v>5500000</v>
      </c>
      <c r="G10" s="80">
        <f t="shared" si="0"/>
        <v>2523400000</v>
      </c>
      <c r="H10" s="81">
        <v>133280573.19587629</v>
      </c>
      <c r="I10" s="81">
        <f t="shared" si="1"/>
        <v>23110851392.164948</v>
      </c>
      <c r="J10" s="81"/>
      <c r="K10" s="81">
        <f t="shared" si="2"/>
        <v>25634251392.164948</v>
      </c>
    </row>
    <row r="11" spans="1:11" ht="19.5" customHeight="1">
      <c r="A11" s="77">
        <v>8</v>
      </c>
      <c r="B11" s="78" t="s">
        <v>30</v>
      </c>
      <c r="C11" s="78" t="s">
        <v>45</v>
      </c>
      <c r="D11" s="78">
        <v>148.5</v>
      </c>
      <c r="E11" s="78">
        <v>443.7</v>
      </c>
      <c r="F11" s="79">
        <v>5500000</v>
      </c>
      <c r="G11" s="80">
        <f t="shared" si="0"/>
        <v>2440350000</v>
      </c>
      <c r="H11" s="81">
        <v>128038452.57731959</v>
      </c>
      <c r="I11" s="81">
        <f t="shared" si="1"/>
        <v>19013710207.73196</v>
      </c>
      <c r="J11" s="81"/>
      <c r="K11" s="81">
        <f t="shared" si="2"/>
        <v>21454060207.73196</v>
      </c>
    </row>
    <row r="12" spans="1:11" ht="27.75" customHeight="1">
      <c r="A12" s="108" t="s">
        <v>47</v>
      </c>
      <c r="B12" s="108"/>
      <c r="C12" s="84"/>
      <c r="D12" s="84"/>
      <c r="E12" s="84"/>
      <c r="F12" s="84"/>
      <c r="G12" s="84"/>
      <c r="H12" s="85"/>
      <c r="I12" s="85"/>
      <c r="J12" s="85"/>
      <c r="K12" s="85">
        <f>SUM(K4:K11)</f>
        <v>160189727313.38968</v>
      </c>
    </row>
    <row r="13" spans="1:11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>
        <v>9</v>
      </c>
      <c r="K13">
        <v>10</v>
      </c>
    </row>
  </sheetData>
  <mergeCells count="2">
    <mergeCell ref="A1:K1"/>
    <mergeCell ref="A12:B12"/>
  </mergeCells>
  <conditionalFormatting sqref="B1:B1048576 D13 F13 H13 J13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L22" sqref="L22"/>
    </sheetView>
  </sheetViews>
  <sheetFormatPr defaultRowHeight="15.75"/>
  <sheetData>
    <row r="2" spans="2:2">
      <c r="B2" t="s">
        <v>31</v>
      </c>
    </row>
    <row r="3" spans="2:2">
      <c r="B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Phiếu tính giá </vt:lpstr>
      <vt:lpstr>Bang gia</vt:lpstr>
      <vt:lpstr>Sheet1</vt:lpstr>
      <vt:lpstr>'Phiếu tính giá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Thi Hoa | BQL Parkview</dc:creator>
  <cp:lastModifiedBy>Nguyen Van Nam | NMG</cp:lastModifiedBy>
  <cp:lastPrinted>2021-01-12T03:01:42Z</cp:lastPrinted>
  <dcterms:created xsi:type="dcterms:W3CDTF">2020-05-15T07:11:29Z</dcterms:created>
  <dcterms:modified xsi:type="dcterms:W3CDTF">2021-02-24T09:27:42Z</dcterms:modified>
</cp:coreProperties>
</file>